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835" activeTab="4"/>
  </bookViews>
  <sheets>
    <sheet name="README" sheetId="5" r:id="rId1"/>
    <sheet name="Inputs" sheetId="2" r:id="rId2"/>
    <sheet name="Calculations" sheetId="6" r:id="rId3"/>
    <sheet name="Regional AQ - worksheet 2" sheetId="4" r:id="rId4"/>
    <sheet name="Output - worksheet 3" sheetId="1" r:id="rId5"/>
  </sheets>
  <definedNames>
    <definedName name="Appraisal_mask">#REF!</definedName>
    <definedName name="Appraisal_period">Calculations!$D$21:$CP$21</definedName>
    <definedName name="Appraisal_period_length">Calculations!$C$15</definedName>
    <definedName name="Appraisal_period_length_in">Inputs!$D$77</definedName>
    <definedName name="Change_forecast_year_exceedance">Calculations!$C$113</definedName>
    <definedName name="Change_forecast_year_not_in_exceedance">Calculations!$C$128</definedName>
    <definedName name="Change_in_PM10_net_total_assessment">Calculations!$D$164:$CP$164</definedName>
    <definedName name="Change_NOx_emissions_in_exceedance">Calculations!$D$105:$CP$105</definedName>
    <definedName name="Change_NOx_emissions_not_in_exceedance">Calculations!$D$120:$CP$120</definedName>
    <definedName name="Change_opening_year_exceedance">Calculations!$C$109</definedName>
    <definedName name="Change_opening_year_not_in_exceedance">Calculations!$C$124</definedName>
    <definedName name="Current_year">Calculations!$C$242</definedName>
    <definedName name="Current_year_in">Inputs!$D$10</definedName>
    <definedName name="Custom_difference">Calculations!$D$98:$CP$98</definedName>
    <definedName name="Custom_emissions_exceedance">Calculations!$D$95:$CP$95</definedName>
    <definedName name="Custom_emissions_exceedance_in">Inputs!$D$46:$X$46</definedName>
    <definedName name="Custom_mask">Calculations!$C$70</definedName>
    <definedName name="Custom_with_scheme_emissions">Calculations!$D$97:$CP$97</definedName>
    <definedName name="Custom_without_scheme_emissions">Calculations!$D$96:$CP$96</definedName>
    <definedName name="Difference_with_scheme_NOx_emissions">Calculations!$C$51</definedName>
    <definedName name="Difference_with_scheme_PM10_concentrations">Calculations!$C$156</definedName>
    <definedName name="Difference_without_scheme_NOx_emissions">Calculations!$C$35</definedName>
    <definedName name="Difference_without_scheme_PM10_concentrations">Calculations!$C$140</definedName>
    <definedName name="Discount_factor">Calculations!$D$260:$CP$260</definedName>
    <definedName name="Discount_period_1">Calculations!$C$244</definedName>
    <definedName name="Discount_period_1_in">Inputs!$D$81</definedName>
    <definedName name="Discount_period_1_mask">Calculations!$D$249:$CP$249</definedName>
    <definedName name="Discount_period_2">Calculations!$C$245</definedName>
    <definedName name="Discount_period_2_in">Inputs!$D$82</definedName>
    <definedName name="Discount_period_2_mask">Calculations!$D$250:$CP$250</definedName>
    <definedName name="Discount_period_3">Calculations!$C$246</definedName>
    <definedName name="Discount_period_3_in">Inputs!$D$83</definedName>
    <definedName name="Discount_period_3_mask">Calculations!$D$251:$CP$251</definedName>
    <definedName name="Discount_rate_1">Calculations!$C$255</definedName>
    <definedName name="Discount_rate_1_in">Inputs!$D$84</definedName>
    <definedName name="Discount_rate_2">Calculations!$C$256</definedName>
    <definedName name="Discount_rate_2_in">Inputs!$D$85</definedName>
    <definedName name="Discount_rate_3">Calculations!$C$257</definedName>
    <definedName name="Discount_rate_3_in">Inputs!$D$86</definedName>
    <definedName name="Discount_rate_profile">Calculations!$D$259:$CP$259</definedName>
    <definedName name="Exceedance_method">Calculations!$C$65</definedName>
    <definedName name="Exceedance_method_in">Inputs!$C$38</definedName>
    <definedName name="Extrapolation_mask">Calculations!$D$19:$CP$19</definedName>
    <definedName name="Extrapolation_with_scheme_NOx_emissions_mask">Calculations!$D$56:$CP$56</definedName>
    <definedName name="Extrapolation_with_scheme_PM10_concentrations_mask">Calculations!$D$161:$CP$161</definedName>
    <definedName name="Extrapolation_without_scheme_NOx_emissions_mask">Calculations!$D$40:$CP$40</definedName>
    <definedName name="Extrapolation_without_scheme_PM10_concentrations_mask">Calculations!$D$145:$CP$145</definedName>
    <definedName name="Forecast_year">Calculations!$C$11</definedName>
    <definedName name="Forecast_year_in">Inputs!$D$8</definedName>
    <definedName name="Forecast_year_mask">Calculations!$D$12:$CP$12</definedName>
    <definedName name="Forecast_year_with_scheme_NOx_emissions" localSheetId="2">Calculations!$C$49</definedName>
    <definedName name="Forecast_year_with_scheme_NOx_emissions_in">Inputs!$C$22</definedName>
    <definedName name="Forecast_year_with_scheme_NOx_emissions_mask">Calculations!$D$54:$CP$54</definedName>
    <definedName name="Forecast_year_with_scheme_PM10_concentrations">Calculations!$C$154</definedName>
    <definedName name="Forecast_year_with_scheme_PM10_concentrations_in">Inputs!$C$32</definedName>
    <definedName name="Forecast_year_with_scheme_PM10_concentrations_mask">Calculations!$D$159:$CP$159</definedName>
    <definedName name="Forecast_year_without_scheme_NOx_emissions" localSheetId="2">Calculations!$C$33</definedName>
    <definedName name="Forecast_year_without_scheme_NOx_emissions_in">Inputs!$C$21</definedName>
    <definedName name="Forecast_year_without_scheme_NOx_emissions_mask">Calculations!$D$38:$CP$38</definedName>
    <definedName name="Forecast_year_without_scheme_PM10_concentrations">Calculations!$C$138</definedName>
    <definedName name="Forecast_year_without_scheme_PM10_concentrations_in">Inputs!$C$31</definedName>
    <definedName name="Forecast_year_without_scheme_PM10_concentrations_mask">Calculations!$D$143:$CP$143</definedName>
    <definedName name="GDP_capita">Calculations!$D$175:$CP$175</definedName>
    <definedName name="GDP_capita_base_values">Calculations!$C$178</definedName>
    <definedName name="GDP_capita_in">Inputs!$D$93:$CP$93</definedName>
    <definedName name="GDP_deflator">Calculations!$D$173:$CP$173</definedName>
    <definedName name="GDP_deflator_base_values">Calculations!$C$182</definedName>
    <definedName name="GDP_deflator_in">Inputs!$D$91:$CP$91</definedName>
    <definedName name="GDP_deflator_outputs">Calculations!$C$185</definedName>
    <definedName name="GDP_household">Calculations!$D$174:$CP$174</definedName>
    <definedName name="GDP_household_base_values">Calculations!$C$179</definedName>
    <definedName name="GDP_household_in">Inputs!$D$92:$CP$92</definedName>
    <definedName name="Income_base_values">Calculations!$C$177</definedName>
    <definedName name="Income_base_values_in">Inputs!$C$52</definedName>
    <definedName name="Interpolation">#REF!</definedName>
    <definedName name="Interpolation_mask">Calculations!$D$17:$CP$17</definedName>
    <definedName name="Interpolation_period_length">Calculations!$C$14</definedName>
    <definedName name="Interpolation_with_scheme_NOx_emissions_mask">Calculations!$D$55:$CP$55</definedName>
    <definedName name="Interpolation_with_scheme_PM10_concentrations_mask">Calculations!$D$160:$CP$160</definedName>
    <definedName name="Interpolation_without_scheme_NOx_emissions_mask">Calculations!$D$39:$CP$39</definedName>
    <definedName name="Interpolation_without_scheme_PM10_concentrations_mask">Calculations!$D$144:$CP$144</definedName>
    <definedName name="National_difference">Calculations!$D$84:$CP$84</definedName>
    <definedName name="National_emissions_exceedance">Calculations!$D$81:$CP$81</definedName>
    <definedName name="National_emissions_exceedance_in">Inputs!$D$44:$X$44</definedName>
    <definedName name="National_mask">Calculations!$C$68</definedName>
    <definedName name="National_with_scheme_emissions">Calculations!$D$83:$CP$83</definedName>
    <definedName name="National_without_scheme_emissions">Calculations!$D$82:$CP$82</definedName>
    <definedName name="NOx_abatement_base_value_central">Calculations!$C$203</definedName>
    <definedName name="NOx_abatement_base_value_central_in">Inputs!$C$63</definedName>
    <definedName name="NOx_abatement_base_value_high">Calculations!$C$204</definedName>
    <definedName name="NOx_abatement_base_value_high_in">Inputs!$C$65</definedName>
    <definedName name="NOx_abatement_base_value_low">Calculations!$C$202</definedName>
    <definedName name="NOx_abatement_base_value_low_in">Inputs!$C$64</definedName>
    <definedName name="NOx_abatement_costs_central">Calculations!$D$207:$CP$207</definedName>
    <definedName name="NOx_abatement_costs_high">Calculations!$D$208:$CP$208</definedName>
    <definedName name="NOx_abatement_costs_low">Calculations!$D$206:$CP$206</definedName>
    <definedName name="NOx_abatement_NPV_central">Calculations!$D$289</definedName>
    <definedName name="NOx_abatement_NPV_high">Calculations!$D$290</definedName>
    <definedName name="NOx_abatement_NPV_low">Calculations!$D$288</definedName>
    <definedName name="NOx_benefits_in_exceedance_central">Calculations!$D$229:$CP$229</definedName>
    <definedName name="NOx_benefits_in_exceedance_discounted_central">Calculations!$D$271:$CP$271</definedName>
    <definedName name="NOx_benefits_in_exceedance_discounted_high">Calculations!$D$272:$CP$272</definedName>
    <definedName name="NOx_benefits_in_exceedance_discounted_low">Calculations!$D$270:$CP$270</definedName>
    <definedName name="NOx_benefits_in_exceedance_high">Calculations!$D$230:$CP$230</definedName>
    <definedName name="NOx_benefits_in_exceedance_low">Calculations!$D$228:$CP$228</definedName>
    <definedName name="NOx_benefits_not_in_exceedance_central">Calculations!$D$223:$CP$223</definedName>
    <definedName name="NOx_benefits_not_in_exceedance_discounted_central">Calculations!$D$265:$CP$265</definedName>
    <definedName name="NOx_benefits_not_in_exceedance_discounted_high">Calculations!$D$266:$CP$266</definedName>
    <definedName name="NOx_benefits_not_in_exceedance_discounted_low">Calculations!$D$264:$CP$264</definedName>
    <definedName name="NOx_benefits_not_in_exceedance_high">Calculations!$D$224:$CP$224</definedName>
    <definedName name="NOx_benefits_not_in_exceedance_low">Calculations!$D$222:$CP$222</definedName>
    <definedName name="NOx_damage_base_value_central">Calculations!$C$193</definedName>
    <definedName name="NOx_damage_base_value_central_in">Inputs!$C$57</definedName>
    <definedName name="NOx_damage_base_value_high">Calculations!$C$194</definedName>
    <definedName name="NOx_damage_base_value_high_in">Inputs!$C$59</definedName>
    <definedName name="NOx_damage_base_value_low">Calculations!$C$192</definedName>
    <definedName name="NOx_damage_base_value_low_in">Inputs!$C$58</definedName>
    <definedName name="NOx_damage_costs_central">Calculations!$D$197:$CP$197</definedName>
    <definedName name="NOx_damage_costs_high">Calculations!$D$198:$CP$198</definedName>
    <definedName name="NOx_damage_costs_high_in">Inputs!$C$59</definedName>
    <definedName name="NOx_damage_costs_low">Calculations!$D$196:$CP$196</definedName>
    <definedName name="NOx_damage_NPV_central">Calculations!$D$283</definedName>
    <definedName name="NOx_damage_NPV_high">Calculations!$D$284</definedName>
    <definedName name="NOx_damage_NPV_low">Calculations!$D$282</definedName>
    <definedName name="NOx_emissions_in_exceedance">#REF!</definedName>
    <definedName name="NOx_emissions_not_in_exceedance">#REF!</definedName>
    <definedName name="NOx_emissions_TOTAL_change">Calculations!$D$59:$CP$59</definedName>
    <definedName name="NOx_exceedance_emission_table">Calculations!$D$102:$CP$105</definedName>
    <definedName name="NOx_not_in_exceedance_emission_table">Calculations!$D$117:$CP$120</definedName>
    <definedName name="NOx_NPV_central">Calculations!$D$295</definedName>
    <definedName name="NOx_NPV_high">Calculations!$D$296</definedName>
    <definedName name="NOx_NPV_low">Calculations!$D$294</definedName>
    <definedName name="NPV_central">Calculations!$D$307</definedName>
    <definedName name="NPV_high">Calculations!$D$308</definedName>
    <definedName name="NPV_low">Calculations!$D$306</definedName>
    <definedName name="Opening_year">Calculations!$C$8</definedName>
    <definedName name="Opening_year_in">Inputs!$D$7</definedName>
    <definedName name="Opening_year_mask">Calculations!$D$9:$CP$9</definedName>
    <definedName name="Opening_year_net_route_assessment">Calculations!$C$166</definedName>
    <definedName name="Opening_year_with_scheme_NOx_emissions" localSheetId="2">Calculations!$C$46</definedName>
    <definedName name="Opening_year_with_scheme_NOx_emissions_in">Inputs!$C$18</definedName>
    <definedName name="Opening_year_with_scheme_NOx_emissions_mask">Calculations!$D$53:$CP$53</definedName>
    <definedName name="Opening_year_with_scheme_PM10_concentrations">Calculations!$C$151</definedName>
    <definedName name="Opening_year_with_scheme_PM10_concentrations_in">Inputs!$C$28</definedName>
    <definedName name="Opening_year_with_scheme_PM10_concentrations_mask">Calculations!$D$158:$CP$158</definedName>
    <definedName name="Opening_year_without_scheme_NOx_emissions" localSheetId="2">Calculations!$C$30</definedName>
    <definedName name="Opening_year_without_scheme_NOx_emissions_in">Inputs!$C$17</definedName>
    <definedName name="Opening_year_without_scheme_NOx_emissions_mask">Calculations!$D$37:$CP$37</definedName>
    <definedName name="Opening_year_without_scheme_PM10_concentrations">Calculations!$C$135</definedName>
    <definedName name="Opening_year_without_scheme_PM10_concentrations_in">Inputs!$C$27</definedName>
    <definedName name="Opening_year_without_scheme_PM10_concentrations_mask">Calculations!$D$142:$CP$142</definedName>
    <definedName name="PM10_benefits_central">Calculations!$D$235:$CP$235</definedName>
    <definedName name="PM10_benefits_discounted_central">Calculations!$D$277:$CP$277</definedName>
    <definedName name="PM10_benefits_discounted_high">Calculations!$D$278:$CP$278</definedName>
    <definedName name="PM10_benefits_discounted_low">Calculations!$D$276:$CP$276</definedName>
    <definedName name="PM10_benefits_high">Calculations!$D$236:$CP$236</definedName>
    <definedName name="PM10_benefits_low">Calculations!$D$234:$CP$234</definedName>
    <definedName name="PM10_damage_base_value_central">Calculations!$C$213</definedName>
    <definedName name="PM10_damage_base_value_central_in">Inputs!$C$69</definedName>
    <definedName name="PM10_damage_base_value_high">Calculations!$C$214</definedName>
    <definedName name="PM10_damage_base_value_high_in">Inputs!$C$71</definedName>
    <definedName name="PM10_damage_base_value_low">Calculations!$C$212</definedName>
    <definedName name="PM10_damage_base_value_low_in">Inputs!$C$70</definedName>
    <definedName name="PM10_damage_costs_central">Calculations!$D$217:$CP$217</definedName>
    <definedName name="PM10_damage_costs_high">Calculations!$D$218:$CP$218</definedName>
    <definedName name="PM10_damage_costs_low">Calculations!$D$216:$CP$216</definedName>
    <definedName name="PM10_damage_costs_low_in">Inputs!$C$70</definedName>
    <definedName name="PM10_damage_NPV_central">Calculations!$D$301</definedName>
    <definedName name="PM10_damage_NPV_high">Calculations!$D$302</definedName>
    <definedName name="PM10_damage_NPV_low">Calculations!$D$300</definedName>
    <definedName name="Price_adjustment">Calculations!$C$187</definedName>
    <definedName name="Price_base_outputs">Calculations!$C$184</definedName>
    <definedName name="Price_base_outputs_in">Inputs!$D$79</definedName>
    <definedName name="Price_base_values">Calculations!$C$181</definedName>
    <definedName name="Price_base_values_in">Inputs!$C$53</definedName>
    <definedName name="PV_base_year">Calculations!$C$243</definedName>
    <definedName name="PV_base_year_in">Inputs!$D$78</definedName>
    <definedName name="Rail_difference">Calculations!$D$91:$CP$91</definedName>
    <definedName name="Rail_emissions_exceedance">Calculations!$D$88:$CP$88</definedName>
    <definedName name="Rail_emissions_exceedance_in">Inputs!$D$45:$X$45</definedName>
    <definedName name="Rail_mask">Calculations!$C$69</definedName>
    <definedName name="Rail_with_scheme_emissions">Calculations!$D$90:$CP$90</definedName>
    <definedName name="Rail_without_scheme_emissions">Calculations!$D$89:$CP$89</definedName>
    <definedName name="Scheme_name">Inputs!$D$6</definedName>
    <definedName name="Scheme_type">Inputs!$D$9</definedName>
    <definedName name="TOTAL_emissions_change_60years">Calculations!$C$61</definedName>
    <definedName name="Total_with_scheme_NOx_emissions">Calculations!$D$57:$CP$57</definedName>
    <definedName name="Total_with_scheme_PM10_concentrations">Calculations!$D$162:$CP$162</definedName>
    <definedName name="Total_without_scheme_NOx_emissions">Calculations!$D$41:$CP$41</definedName>
    <definedName name="Total_without_scheme_PM10_concentrations">Calculations!$D$146:$CP$146</definedName>
    <definedName name="Uprating_table">Calculations!$D$172:$CP$175</definedName>
    <definedName name="Urban_difference">Calculations!$D$77:$CP$77</definedName>
    <definedName name="Urban_emission_exceedance_in">Inputs!$D$43:$X$43</definedName>
    <definedName name="Urban_emissions_exceedance">Calculations!$D$74:$CP$74</definedName>
    <definedName name="Urban_mask">Calculations!$C$67</definedName>
    <definedName name="Urban_with_scheme_emissions">Calculations!$D$76:$CP$76</definedName>
    <definedName name="Urban_without_scheme_emissions">Calculations!$D$75:$CP$75</definedName>
    <definedName name="With_scheme_forecast_year_exceedance">Calculations!$C$112</definedName>
    <definedName name="With_scheme_forecast_year_not_in_exceedance">Calculations!$C$127</definedName>
    <definedName name="With_scheme_NOx_emissions_in_exceedance">Calculations!$D$104:$CP$104</definedName>
    <definedName name="With_scheme_NOx_emissions_not_in_exceedance">Calculations!$D$119:$CP$119</definedName>
    <definedName name="With_scheme_opening_year_exceedance">Calculations!$C$108</definedName>
    <definedName name="With_scheme_opening_year_not_in_exceedance">Calculations!$C$123</definedName>
    <definedName name="Without_scheme_forecast_year_exceedance">Calculations!$C$111</definedName>
    <definedName name="Without_scheme_forecast_year_not_in_exceedance">Calculations!$C$126</definedName>
    <definedName name="Without_scheme_NOx_emissions_in_exceedance">Calculations!$D$103:$CP$103</definedName>
    <definedName name="Without_scheme_NOx_emissions_not_in_exceedance">Calculations!$D$118:$CP$118</definedName>
    <definedName name="Without_scheme_opening_year_exceedance">Calculations!$C$107</definedName>
    <definedName name="Without_scheme_opening_year_not_in_exceedance">Calculations!$C$122</definedName>
    <definedName name="year" localSheetId="2">Calculations!$D$4:$CP$4</definedName>
    <definedName name="Year_difference">#REF!</definedName>
  </definedNames>
  <calcPr calcId="171027"/>
</workbook>
</file>

<file path=xl/calcChain.xml><?xml version="1.0" encoding="utf-8"?>
<calcChain xmlns="http://schemas.openxmlformats.org/spreadsheetml/2006/main">
  <c r="E12" i="1" l="1"/>
  <c r="J18" i="2" l="1"/>
  <c r="J22" i="2"/>
  <c r="J32" i="2"/>
  <c r="J28" i="2"/>
  <c r="C257" i="6" l="1"/>
  <c r="C256" i="6"/>
  <c r="C255" i="6"/>
  <c r="C246" i="6"/>
  <c r="C245" i="6"/>
  <c r="C244" i="6"/>
  <c r="C243" i="6"/>
  <c r="C242" i="6"/>
  <c r="CL251" i="6" s="1"/>
  <c r="C214" i="6"/>
  <c r="C213" i="6"/>
  <c r="C212" i="6"/>
  <c r="C204" i="6"/>
  <c r="C203" i="6"/>
  <c r="C202" i="6"/>
  <c r="C194" i="6"/>
  <c r="C193" i="6"/>
  <c r="C192" i="6"/>
  <c r="C184" i="6"/>
  <c r="C181" i="6"/>
  <c r="C177" i="6"/>
  <c r="CP175" i="6"/>
  <c r="CO175" i="6"/>
  <c r="CN175" i="6"/>
  <c r="CM175" i="6"/>
  <c r="CL175" i="6"/>
  <c r="CK175" i="6"/>
  <c r="CJ175" i="6"/>
  <c r="CI175" i="6"/>
  <c r="CH175" i="6"/>
  <c r="CG175" i="6"/>
  <c r="CF175" i="6"/>
  <c r="CE175" i="6"/>
  <c r="CD175" i="6"/>
  <c r="CC175" i="6"/>
  <c r="CB175" i="6"/>
  <c r="CA175" i="6"/>
  <c r="BZ175" i="6"/>
  <c r="BY175" i="6"/>
  <c r="BX175" i="6"/>
  <c r="BW175" i="6"/>
  <c r="BV175" i="6"/>
  <c r="BU175" i="6"/>
  <c r="BT175" i="6"/>
  <c r="BS175" i="6"/>
  <c r="BR175" i="6"/>
  <c r="BQ175" i="6"/>
  <c r="BP175" i="6"/>
  <c r="BO175" i="6"/>
  <c r="BN175" i="6"/>
  <c r="BM175" i="6"/>
  <c r="BL175" i="6"/>
  <c r="BK175" i="6"/>
  <c r="BJ175" i="6"/>
  <c r="BI175" i="6"/>
  <c r="BH175" i="6"/>
  <c r="BG175" i="6"/>
  <c r="BF175" i="6"/>
  <c r="BE175" i="6"/>
  <c r="BD175" i="6"/>
  <c r="BC175" i="6"/>
  <c r="BB175" i="6"/>
  <c r="BA175" i="6"/>
  <c r="AZ175" i="6"/>
  <c r="AY175" i="6"/>
  <c r="AX175" i="6"/>
  <c r="AW175" i="6"/>
  <c r="AV175" i="6"/>
  <c r="AU175" i="6"/>
  <c r="AT175" i="6"/>
  <c r="AS175" i="6"/>
  <c r="AR175" i="6"/>
  <c r="AQ175" i="6"/>
  <c r="AP175" i="6"/>
  <c r="AO175" i="6"/>
  <c r="AN175" i="6"/>
  <c r="AM175" i="6"/>
  <c r="AL175" i="6"/>
  <c r="AK175" i="6"/>
  <c r="AJ175" i="6"/>
  <c r="AI175" i="6"/>
  <c r="AH175" i="6"/>
  <c r="AG175" i="6"/>
  <c r="AF175" i="6"/>
  <c r="AE175" i="6"/>
  <c r="AD175" i="6"/>
  <c r="AC175" i="6"/>
  <c r="AB175" i="6"/>
  <c r="AA175" i="6"/>
  <c r="Z175" i="6"/>
  <c r="Y175" i="6"/>
  <c r="X175" i="6"/>
  <c r="W175" i="6"/>
  <c r="V175" i="6"/>
  <c r="U175" i="6"/>
  <c r="T175" i="6"/>
  <c r="S175" i="6"/>
  <c r="R175" i="6"/>
  <c r="Q175" i="6"/>
  <c r="P175" i="6"/>
  <c r="O175" i="6"/>
  <c r="N175" i="6"/>
  <c r="M175" i="6"/>
  <c r="L175" i="6"/>
  <c r="K175" i="6"/>
  <c r="J175" i="6"/>
  <c r="I175" i="6"/>
  <c r="H175" i="6"/>
  <c r="G175" i="6"/>
  <c r="F175" i="6"/>
  <c r="E175" i="6"/>
  <c r="D175" i="6"/>
  <c r="CP174" i="6"/>
  <c r="CO174" i="6"/>
  <c r="CN174" i="6"/>
  <c r="CM174" i="6"/>
  <c r="CL174" i="6"/>
  <c r="CK174" i="6"/>
  <c r="CJ174" i="6"/>
  <c r="CI174" i="6"/>
  <c r="CH174" i="6"/>
  <c r="CG174" i="6"/>
  <c r="CF174" i="6"/>
  <c r="CE174" i="6"/>
  <c r="CD174" i="6"/>
  <c r="CC174" i="6"/>
  <c r="CB174" i="6"/>
  <c r="CA174" i="6"/>
  <c r="BZ174" i="6"/>
  <c r="BY174" i="6"/>
  <c r="BX174" i="6"/>
  <c r="BW174" i="6"/>
  <c r="BV174" i="6"/>
  <c r="BU174" i="6"/>
  <c r="BT174" i="6"/>
  <c r="BS174" i="6"/>
  <c r="BR174" i="6"/>
  <c r="BQ174" i="6"/>
  <c r="BP174" i="6"/>
  <c r="BO174" i="6"/>
  <c r="BN174" i="6"/>
  <c r="BM174" i="6"/>
  <c r="BL174" i="6"/>
  <c r="BK174" i="6"/>
  <c r="BJ174" i="6"/>
  <c r="BI174" i="6"/>
  <c r="BH174" i="6"/>
  <c r="BG174" i="6"/>
  <c r="BF174" i="6"/>
  <c r="BE174" i="6"/>
  <c r="BD174" i="6"/>
  <c r="BC174" i="6"/>
  <c r="BB174" i="6"/>
  <c r="BA174" i="6"/>
  <c r="AZ174" i="6"/>
  <c r="AY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T174" i="6"/>
  <c r="S174" i="6"/>
  <c r="R174" i="6"/>
  <c r="Q174" i="6"/>
  <c r="P174" i="6"/>
  <c r="O174" i="6"/>
  <c r="N174" i="6"/>
  <c r="M174" i="6"/>
  <c r="L174" i="6"/>
  <c r="K174" i="6"/>
  <c r="J174" i="6"/>
  <c r="I174" i="6"/>
  <c r="H174" i="6"/>
  <c r="G174" i="6"/>
  <c r="F174" i="6"/>
  <c r="E174" i="6"/>
  <c r="D174" i="6"/>
  <c r="CP173" i="6"/>
  <c r="CO173" i="6"/>
  <c r="CN173" i="6"/>
  <c r="CM173" i="6"/>
  <c r="CL173" i="6"/>
  <c r="CK173" i="6"/>
  <c r="CJ173" i="6"/>
  <c r="CI173" i="6"/>
  <c r="CH173" i="6"/>
  <c r="CG173" i="6"/>
  <c r="CF173" i="6"/>
  <c r="CE173" i="6"/>
  <c r="CD173" i="6"/>
  <c r="CC173" i="6"/>
  <c r="CB173" i="6"/>
  <c r="CA173" i="6"/>
  <c r="BZ173" i="6"/>
  <c r="BY173" i="6"/>
  <c r="BX173" i="6"/>
  <c r="BW173" i="6"/>
  <c r="BV173" i="6"/>
  <c r="BU173" i="6"/>
  <c r="BT173" i="6"/>
  <c r="BS173" i="6"/>
  <c r="BR173" i="6"/>
  <c r="BQ173" i="6"/>
  <c r="BP173" i="6"/>
  <c r="BO173" i="6"/>
  <c r="BN173" i="6"/>
  <c r="BM173" i="6"/>
  <c r="BL173" i="6"/>
  <c r="BK173" i="6"/>
  <c r="BJ173" i="6"/>
  <c r="BI173" i="6"/>
  <c r="BH173" i="6"/>
  <c r="BG173" i="6"/>
  <c r="BF173" i="6"/>
  <c r="BE173" i="6"/>
  <c r="BD173" i="6"/>
  <c r="BC173" i="6"/>
  <c r="BB173" i="6"/>
  <c r="BA173" i="6"/>
  <c r="AZ173" i="6"/>
  <c r="AY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R173" i="6"/>
  <c r="Q173" i="6"/>
  <c r="P173" i="6"/>
  <c r="O173" i="6"/>
  <c r="N173" i="6"/>
  <c r="M173" i="6"/>
  <c r="L173" i="6"/>
  <c r="K173" i="6"/>
  <c r="J173" i="6"/>
  <c r="I173" i="6"/>
  <c r="H173" i="6"/>
  <c r="G173" i="6"/>
  <c r="F173" i="6"/>
  <c r="E173" i="6"/>
  <c r="D173" i="6"/>
  <c r="C182" i="6" s="1"/>
  <c r="C154" i="6"/>
  <c r="C151" i="6"/>
  <c r="C138" i="6"/>
  <c r="C135" i="6"/>
  <c r="X95" i="6"/>
  <c r="W95" i="6"/>
  <c r="V95" i="6"/>
  <c r="U95" i="6"/>
  <c r="T95" i="6"/>
  <c r="S95" i="6"/>
  <c r="R95" i="6"/>
  <c r="Q95" i="6"/>
  <c r="P95" i="6"/>
  <c r="O95" i="6"/>
  <c r="N95" i="6"/>
  <c r="M95" i="6"/>
  <c r="L95" i="6"/>
  <c r="K95" i="6"/>
  <c r="J95" i="6"/>
  <c r="I95" i="6"/>
  <c r="H95" i="6"/>
  <c r="G95" i="6"/>
  <c r="F95" i="6"/>
  <c r="E95" i="6"/>
  <c r="D95" i="6"/>
  <c r="X88" i="6"/>
  <c r="W88" i="6"/>
  <c r="V88" i="6"/>
  <c r="U88" i="6"/>
  <c r="T88" i="6"/>
  <c r="S88" i="6"/>
  <c r="R88" i="6"/>
  <c r="Q88" i="6"/>
  <c r="P88" i="6"/>
  <c r="O88" i="6"/>
  <c r="N88" i="6"/>
  <c r="M88" i="6"/>
  <c r="L88" i="6"/>
  <c r="K88" i="6"/>
  <c r="J88" i="6"/>
  <c r="I88" i="6"/>
  <c r="H88" i="6"/>
  <c r="G88" i="6"/>
  <c r="F88" i="6"/>
  <c r="E88" i="6"/>
  <c r="D88" i="6"/>
  <c r="X81" i="6"/>
  <c r="W81" i="6"/>
  <c r="V81" i="6"/>
  <c r="U81" i="6"/>
  <c r="T81" i="6"/>
  <c r="S81" i="6"/>
  <c r="R81" i="6"/>
  <c r="Q81" i="6"/>
  <c r="P81" i="6"/>
  <c r="O81" i="6"/>
  <c r="N81" i="6"/>
  <c r="M81" i="6"/>
  <c r="L81" i="6"/>
  <c r="K81" i="6"/>
  <c r="J81" i="6"/>
  <c r="I81" i="6"/>
  <c r="H81" i="6"/>
  <c r="G81" i="6"/>
  <c r="F81" i="6"/>
  <c r="E81" i="6"/>
  <c r="D81" i="6"/>
  <c r="X74" i="6"/>
  <c r="W74" i="6"/>
  <c r="V74" i="6"/>
  <c r="U74" i="6"/>
  <c r="T74" i="6"/>
  <c r="S74" i="6"/>
  <c r="R74" i="6"/>
  <c r="Q74" i="6"/>
  <c r="P74" i="6"/>
  <c r="O74" i="6"/>
  <c r="N74" i="6"/>
  <c r="M74" i="6"/>
  <c r="L74" i="6"/>
  <c r="K74" i="6"/>
  <c r="J74" i="6"/>
  <c r="I74" i="6"/>
  <c r="H74" i="6"/>
  <c r="G74" i="6"/>
  <c r="F74" i="6"/>
  <c r="E74" i="6"/>
  <c r="D74" i="6"/>
  <c r="C65" i="6"/>
  <c r="C67" i="6" s="1"/>
  <c r="C49" i="6"/>
  <c r="C46" i="6"/>
  <c r="C33" i="6"/>
  <c r="C30" i="6"/>
  <c r="C15" i="6"/>
  <c r="BV12" i="6"/>
  <c r="C11" i="6"/>
  <c r="C8" i="6"/>
  <c r="BT9" i="6" s="1"/>
  <c r="H9" i="6" l="1"/>
  <c r="CC9" i="6"/>
  <c r="AJ17" i="6"/>
  <c r="Z9" i="6"/>
  <c r="AS9" i="6"/>
  <c r="BK9" i="6"/>
  <c r="Q9" i="6"/>
  <c r="Q37" i="6" s="1"/>
  <c r="BB9" i="6"/>
  <c r="CL9" i="6"/>
  <c r="BT17" i="6"/>
  <c r="AJ9" i="6"/>
  <c r="AK12" i="6"/>
  <c r="C166" i="6"/>
  <c r="C156" i="6"/>
  <c r="BK37" i="6"/>
  <c r="C35" i="6"/>
  <c r="AJ39" i="6" s="1"/>
  <c r="C69" i="6"/>
  <c r="C70" i="6"/>
  <c r="C68" i="6"/>
  <c r="C140" i="6"/>
  <c r="N250" i="6"/>
  <c r="AB251" i="6"/>
  <c r="R249" i="6"/>
  <c r="W250" i="6"/>
  <c r="CF251" i="6"/>
  <c r="Z249" i="6"/>
  <c r="CC249" i="6"/>
  <c r="X250" i="6"/>
  <c r="BC250" i="6"/>
  <c r="CG251" i="6"/>
  <c r="BY251" i="6"/>
  <c r="AA249" i="6"/>
  <c r="BE249" i="6"/>
  <c r="CD249" i="6"/>
  <c r="AD250" i="6"/>
  <c r="BL250" i="6"/>
  <c r="D251" i="6"/>
  <c r="AS251" i="6"/>
  <c r="CM251" i="6"/>
  <c r="CE251" i="6"/>
  <c r="AG249" i="6"/>
  <c r="BF249" i="6"/>
  <c r="CM249" i="6"/>
  <c r="AE250" i="6"/>
  <c r="BR250" i="6"/>
  <c r="E251" i="6"/>
  <c r="AY251" i="6"/>
  <c r="CN251" i="6"/>
  <c r="Q249" i="6"/>
  <c r="AV250" i="6"/>
  <c r="CJ250" i="6"/>
  <c r="AW249" i="6"/>
  <c r="CI250" i="6"/>
  <c r="CJ249" i="6"/>
  <c r="BW249" i="6"/>
  <c r="AQ251" i="6"/>
  <c r="AY249" i="6"/>
  <c r="AR251" i="6"/>
  <c r="I249" i="6"/>
  <c r="AH249" i="6"/>
  <c r="BG249" i="6"/>
  <c r="F250" i="6"/>
  <c r="AF250" i="6"/>
  <c r="BS250" i="6"/>
  <c r="T251" i="6"/>
  <c r="BI251" i="6"/>
  <c r="J249" i="6"/>
  <c r="AI249" i="6"/>
  <c r="BO249" i="6"/>
  <c r="G250" i="6"/>
  <c r="AT250" i="6"/>
  <c r="BT250" i="6"/>
  <c r="U251" i="6"/>
  <c r="BO251" i="6"/>
  <c r="BV249" i="6"/>
  <c r="BQ251" i="6"/>
  <c r="AX249" i="6"/>
  <c r="BB250" i="6"/>
  <c r="CP250" i="6"/>
  <c r="K249" i="6"/>
  <c r="AO249" i="6"/>
  <c r="BU249" i="6"/>
  <c r="H250" i="6"/>
  <c r="AU250" i="6"/>
  <c r="BZ250" i="6"/>
  <c r="AA251" i="6"/>
  <c r="BP251" i="6"/>
  <c r="BW12" i="6"/>
  <c r="AT12" i="6"/>
  <c r="K12" i="6"/>
  <c r="AV12" i="6"/>
  <c r="CF12" i="6"/>
  <c r="CF54" i="6" s="1"/>
  <c r="S12" i="6"/>
  <c r="S143" i="6" s="1"/>
  <c r="BD12" i="6"/>
  <c r="BD54" i="6" s="1"/>
  <c r="CN12" i="6"/>
  <c r="CN143" i="6" s="1"/>
  <c r="J12" i="6"/>
  <c r="T12" i="6"/>
  <c r="BE12" i="6"/>
  <c r="CO12" i="6"/>
  <c r="AL12" i="6"/>
  <c r="AL54" i="6" s="1"/>
  <c r="CE12" i="6"/>
  <c r="CE143" i="6" s="1"/>
  <c r="CF19" i="6"/>
  <c r="CF40" i="6" s="1"/>
  <c r="AB12" i="6"/>
  <c r="AB54" i="6" s="1"/>
  <c r="BM12" i="6"/>
  <c r="AJ19" i="6"/>
  <c r="AC12" i="6"/>
  <c r="BN12" i="6"/>
  <c r="I9" i="6"/>
  <c r="R9" i="6"/>
  <c r="AB9" i="6"/>
  <c r="AK9" i="6"/>
  <c r="AK158" i="6" s="1"/>
  <c r="AT9" i="6"/>
  <c r="AT37" i="6" s="1"/>
  <c r="BC9" i="6"/>
  <c r="BC37" i="6" s="1"/>
  <c r="BL9" i="6"/>
  <c r="BL53" i="6" s="1"/>
  <c r="BU9" i="6"/>
  <c r="BU37" i="6" s="1"/>
  <c r="CD9" i="6"/>
  <c r="CN9" i="6"/>
  <c r="AK17" i="6"/>
  <c r="BU17" i="6"/>
  <c r="AN19" i="6"/>
  <c r="AN40" i="6" s="1"/>
  <c r="J9" i="6"/>
  <c r="T9" i="6"/>
  <c r="T142" i="6" s="1"/>
  <c r="AC9" i="6"/>
  <c r="AC158" i="6" s="1"/>
  <c r="AL9" i="6"/>
  <c r="AU9" i="6"/>
  <c r="AU37" i="6" s="1"/>
  <c r="BD9" i="6"/>
  <c r="BM9" i="6"/>
  <c r="BM37" i="6" s="1"/>
  <c r="BV9" i="6"/>
  <c r="BV37" i="6" s="1"/>
  <c r="CF9" i="6"/>
  <c r="CO9" i="6"/>
  <c r="CO37" i="6" s="1"/>
  <c r="H17" i="6"/>
  <c r="AS17" i="6"/>
  <c r="CG17" i="6"/>
  <c r="AZ19" i="6"/>
  <c r="AZ161" i="6" s="1"/>
  <c r="C45" i="6"/>
  <c r="L9" i="6"/>
  <c r="L53" i="6" s="1"/>
  <c r="AM9" i="6"/>
  <c r="AV9" i="6"/>
  <c r="AV158" i="6" s="1"/>
  <c r="BE9" i="6"/>
  <c r="BE158" i="6" s="1"/>
  <c r="BN9" i="6"/>
  <c r="BX9" i="6"/>
  <c r="BX37" i="6" s="1"/>
  <c r="CG9" i="6"/>
  <c r="CP9" i="6"/>
  <c r="CP158" i="6" s="1"/>
  <c r="I17" i="6"/>
  <c r="AT17" i="6"/>
  <c r="CH17" i="6"/>
  <c r="BD19" i="6"/>
  <c r="BD56" i="6" s="1"/>
  <c r="D9" i="6"/>
  <c r="D53" i="6" s="1"/>
  <c r="M9" i="6"/>
  <c r="M37" i="6" s="1"/>
  <c r="V9" i="6"/>
  <c r="V37" i="6" s="1"/>
  <c r="AE9" i="6"/>
  <c r="AE53" i="6" s="1"/>
  <c r="AN9" i="6"/>
  <c r="AN53" i="6" s="1"/>
  <c r="AW9" i="6"/>
  <c r="AW37" i="6" s="1"/>
  <c r="BF9" i="6"/>
  <c r="BF53" i="6" s="1"/>
  <c r="BP9" i="6"/>
  <c r="BP158" i="6" s="1"/>
  <c r="BY9" i="6"/>
  <c r="BY37" i="6" s="1"/>
  <c r="CH9" i="6"/>
  <c r="Q17" i="6"/>
  <c r="BB17" i="6"/>
  <c r="F19" i="6"/>
  <c r="F145" i="6" s="1"/>
  <c r="BP19" i="6"/>
  <c r="U9" i="6"/>
  <c r="U158" i="6" s="1"/>
  <c r="E9" i="6"/>
  <c r="E53" i="6" s="1"/>
  <c r="W9" i="6"/>
  <c r="W37" i="6" s="1"/>
  <c r="AO9" i="6"/>
  <c r="BH9" i="6"/>
  <c r="BZ9" i="6"/>
  <c r="BZ37" i="6" s="1"/>
  <c r="S17" i="6"/>
  <c r="H19" i="6"/>
  <c r="F9" i="6"/>
  <c r="F37" i="6" s="1"/>
  <c r="O9" i="6"/>
  <c r="O53" i="6" s="1"/>
  <c r="X9" i="6"/>
  <c r="AG9" i="6"/>
  <c r="AG37" i="6" s="1"/>
  <c r="AP9" i="6"/>
  <c r="AP37" i="6" s="1"/>
  <c r="AZ9" i="6"/>
  <c r="AZ53" i="6" s="1"/>
  <c r="BI9" i="6"/>
  <c r="BI37" i="6" s="1"/>
  <c r="BR9" i="6"/>
  <c r="BR158" i="6" s="1"/>
  <c r="CA9" i="6"/>
  <c r="CA158" i="6" s="1"/>
  <c r="CJ9" i="6"/>
  <c r="AA17" i="6"/>
  <c r="BK17" i="6"/>
  <c r="T19" i="6"/>
  <c r="T40" i="6" s="1"/>
  <c r="AD9" i="6"/>
  <c r="N9" i="6"/>
  <c r="N142" i="6" s="1"/>
  <c r="AF9" i="6"/>
  <c r="AF53" i="6" s="1"/>
  <c r="AX9" i="6"/>
  <c r="BQ9" i="6"/>
  <c r="CI9" i="6"/>
  <c r="BC17" i="6"/>
  <c r="BT19" i="6"/>
  <c r="BT145" i="6" s="1"/>
  <c r="G9" i="6"/>
  <c r="P9" i="6"/>
  <c r="P158" i="6" s="1"/>
  <c r="Y9" i="6"/>
  <c r="Y158" i="6" s="1"/>
  <c r="AH9" i="6"/>
  <c r="AR9" i="6"/>
  <c r="BA9" i="6"/>
  <c r="BJ9" i="6"/>
  <c r="BJ158" i="6" s="1"/>
  <c r="BS9" i="6"/>
  <c r="BS53" i="6" s="1"/>
  <c r="CB9" i="6"/>
  <c r="CK9" i="6"/>
  <c r="CK53" i="6" s="1"/>
  <c r="AB17" i="6"/>
  <c r="BL17" i="6"/>
  <c r="X19" i="6"/>
  <c r="CJ19" i="6"/>
  <c r="CJ40" i="6" s="1"/>
  <c r="C32" i="6"/>
  <c r="CK19" i="6"/>
  <c r="CK56" i="6" s="1"/>
  <c r="CC19" i="6"/>
  <c r="CC161" i="6" s="1"/>
  <c r="BU19" i="6"/>
  <c r="BU56" i="6" s="1"/>
  <c r="BM19" i="6"/>
  <c r="BM56" i="6" s="1"/>
  <c r="BE19" i="6"/>
  <c r="AW19" i="6"/>
  <c r="AW145" i="6" s="1"/>
  <c r="AO19" i="6"/>
  <c r="AG19" i="6"/>
  <c r="AG161" i="6" s="1"/>
  <c r="Y19" i="6"/>
  <c r="Y161" i="6" s="1"/>
  <c r="Q19" i="6"/>
  <c r="Q161" i="6" s="1"/>
  <c r="I19" i="6"/>
  <c r="I40" i="6" s="1"/>
  <c r="CN17" i="6"/>
  <c r="CF17" i="6"/>
  <c r="BX17" i="6"/>
  <c r="C153" i="6"/>
  <c r="CI19" i="6"/>
  <c r="CI40" i="6" s="1"/>
  <c r="CA19" i="6"/>
  <c r="CA40" i="6" s="1"/>
  <c r="BS19" i="6"/>
  <c r="BS161" i="6" s="1"/>
  <c r="BK19" i="6"/>
  <c r="BK40" i="6" s="1"/>
  <c r="BC19" i="6"/>
  <c r="AU19" i="6"/>
  <c r="AM19" i="6"/>
  <c r="AE19" i="6"/>
  <c r="AE40" i="6" s="1"/>
  <c r="W19" i="6"/>
  <c r="W161" i="6" s="1"/>
  <c r="O19" i="6"/>
  <c r="O56" i="6" s="1"/>
  <c r="G19" i="6"/>
  <c r="G40" i="6" s="1"/>
  <c r="C14" i="6"/>
  <c r="CI12" i="6"/>
  <c r="CA12" i="6"/>
  <c r="CA159" i="6" s="1"/>
  <c r="BS12" i="6"/>
  <c r="BK12" i="6"/>
  <c r="BK159" i="6" s="1"/>
  <c r="BC12" i="6"/>
  <c r="BC143" i="6" s="1"/>
  <c r="AU12" i="6"/>
  <c r="AU159" i="6" s="1"/>
  <c r="AM12" i="6"/>
  <c r="AM143" i="6" s="1"/>
  <c r="AE12" i="6"/>
  <c r="W12" i="6"/>
  <c r="O12" i="6"/>
  <c r="G12" i="6"/>
  <c r="BJ19" i="6"/>
  <c r="BJ161" i="6" s="1"/>
  <c r="AL19" i="6"/>
  <c r="AL56" i="6" s="1"/>
  <c r="V19" i="6"/>
  <c r="V40" i="6" s="1"/>
  <c r="C48" i="6"/>
  <c r="CP19" i="6"/>
  <c r="CH19" i="6"/>
  <c r="CH40" i="6" s="1"/>
  <c r="BZ19" i="6"/>
  <c r="BR19" i="6"/>
  <c r="BR145" i="6" s="1"/>
  <c r="BB19" i="6"/>
  <c r="BB40" i="6" s="1"/>
  <c r="AT19" i="6"/>
  <c r="AT161" i="6" s="1"/>
  <c r="AD19" i="6"/>
  <c r="AD56" i="6" s="1"/>
  <c r="N19" i="6"/>
  <c r="N161" i="6" s="1"/>
  <c r="CO19" i="6"/>
  <c r="CG19" i="6"/>
  <c r="CG145" i="6" s="1"/>
  <c r="BY19" i="6"/>
  <c r="BQ19" i="6"/>
  <c r="BQ56" i="6" s="1"/>
  <c r="BI19" i="6"/>
  <c r="BI145" i="6" s="1"/>
  <c r="BA19" i="6"/>
  <c r="BA56" i="6" s="1"/>
  <c r="AS19" i="6"/>
  <c r="AS161" i="6" s="1"/>
  <c r="AK19" i="6"/>
  <c r="AC19" i="6"/>
  <c r="AC161" i="6" s="1"/>
  <c r="U19" i="6"/>
  <c r="M19" i="6"/>
  <c r="E19" i="6"/>
  <c r="E40" i="6" s="1"/>
  <c r="CJ17" i="6"/>
  <c r="CB17" i="6"/>
  <c r="AD12" i="6"/>
  <c r="BO12" i="6"/>
  <c r="K17" i="6"/>
  <c r="AU17" i="6"/>
  <c r="CI17" i="6"/>
  <c r="BF19" i="6"/>
  <c r="BF40" i="6" s="1"/>
  <c r="D12" i="6"/>
  <c r="D143" i="6" s="1"/>
  <c r="BE17" i="6"/>
  <c r="K19" i="6"/>
  <c r="E12" i="6"/>
  <c r="E143" i="6" s="1"/>
  <c r="N12" i="6"/>
  <c r="X12" i="6"/>
  <c r="AG12" i="6"/>
  <c r="AG143" i="6" s="1"/>
  <c r="AP12" i="6"/>
  <c r="AP54" i="6" s="1"/>
  <c r="AY12" i="6"/>
  <c r="AY54" i="6" s="1"/>
  <c r="BH12" i="6"/>
  <c r="BQ12" i="6"/>
  <c r="BZ12" i="6"/>
  <c r="BZ143" i="6" s="1"/>
  <c r="CJ12" i="6"/>
  <c r="D17" i="6"/>
  <c r="M17" i="6"/>
  <c r="V17" i="6"/>
  <c r="AE17" i="6"/>
  <c r="AN17" i="6"/>
  <c r="AW17" i="6"/>
  <c r="BG17" i="6"/>
  <c r="BP17" i="6"/>
  <c r="BZ17" i="6"/>
  <c r="CM17" i="6"/>
  <c r="L19" i="6"/>
  <c r="L161" i="6" s="1"/>
  <c r="AB19" i="6"/>
  <c r="AB40" i="6" s="1"/>
  <c r="AR19" i="6"/>
  <c r="AR161" i="6" s="1"/>
  <c r="BH19" i="6"/>
  <c r="BH145" i="6" s="1"/>
  <c r="BX19" i="6"/>
  <c r="BX161" i="6" s="1"/>
  <c r="CN19" i="6"/>
  <c r="BY250" i="6"/>
  <c r="BQ250" i="6"/>
  <c r="BI250" i="6"/>
  <c r="BA250" i="6"/>
  <c r="AS250" i="6"/>
  <c r="AK250" i="6"/>
  <c r="AC250" i="6"/>
  <c r="U250" i="6"/>
  <c r="M250" i="6"/>
  <c r="E250" i="6"/>
  <c r="S249" i="6"/>
  <c r="AP249" i="6"/>
  <c r="BM249" i="6"/>
  <c r="CE249" i="6"/>
  <c r="O250" i="6"/>
  <c r="AL250" i="6"/>
  <c r="BD250" i="6"/>
  <c r="CA250" i="6"/>
  <c r="K251" i="6"/>
  <c r="AC251" i="6"/>
  <c r="AZ251" i="6"/>
  <c r="BW251" i="6"/>
  <c r="CO251" i="6"/>
  <c r="U12" i="6"/>
  <c r="U159" i="6" s="1"/>
  <c r="AN12" i="6"/>
  <c r="BX12" i="6"/>
  <c r="BX54" i="6" s="1"/>
  <c r="CP12" i="6"/>
  <c r="CP159" i="6" s="1"/>
  <c r="AL17" i="6"/>
  <c r="BW17" i="6"/>
  <c r="Z19" i="6"/>
  <c r="CL19" i="6"/>
  <c r="CL56" i="6" s="1"/>
  <c r="AF12" i="6"/>
  <c r="AO12" i="6"/>
  <c r="AO54" i="6" s="1"/>
  <c r="BG12" i="6"/>
  <c r="BG54" i="6" s="1"/>
  <c r="CH12" i="6"/>
  <c r="CH159" i="6" s="1"/>
  <c r="U17" i="6"/>
  <c r="AV17" i="6"/>
  <c r="CK17" i="6"/>
  <c r="AQ19" i="6"/>
  <c r="AQ40" i="6" s="1"/>
  <c r="BW19" i="6"/>
  <c r="F12" i="6"/>
  <c r="F54" i="6" s="1"/>
  <c r="P12" i="6"/>
  <c r="P54" i="6" s="1"/>
  <c r="Y12" i="6"/>
  <c r="Y38" i="6" s="1"/>
  <c r="AH12" i="6"/>
  <c r="AQ12" i="6"/>
  <c r="AQ159" i="6" s="1"/>
  <c r="AZ12" i="6"/>
  <c r="BI12" i="6"/>
  <c r="BI38" i="6" s="1"/>
  <c r="BR12" i="6"/>
  <c r="BR159" i="6" s="1"/>
  <c r="CB12" i="6"/>
  <c r="CB38" i="6" s="1"/>
  <c r="CK12" i="6"/>
  <c r="CK143" i="6" s="1"/>
  <c r="E17" i="6"/>
  <c r="N17" i="6"/>
  <c r="W17" i="6"/>
  <c r="AF17" i="6"/>
  <c r="AO17" i="6"/>
  <c r="AY17" i="6"/>
  <c r="BH17" i="6"/>
  <c r="BQ17" i="6"/>
  <c r="BQ21" i="6" s="1"/>
  <c r="CA17" i="6"/>
  <c r="CO17" i="6"/>
  <c r="P19" i="6"/>
  <c r="P56" i="6" s="1"/>
  <c r="AF19" i="6"/>
  <c r="AV19" i="6"/>
  <c r="BL19" i="6"/>
  <c r="CB19" i="6"/>
  <c r="CB40" i="6" s="1"/>
  <c r="Y249" i="6"/>
  <c r="AQ249" i="6"/>
  <c r="BN249" i="6"/>
  <c r="CK249" i="6"/>
  <c r="P250" i="6"/>
  <c r="AM250" i="6"/>
  <c r="BJ250" i="6"/>
  <c r="CB250" i="6"/>
  <c r="L251" i="6"/>
  <c r="AI251" i="6"/>
  <c r="BA251" i="6"/>
  <c r="BX251" i="6"/>
  <c r="L12" i="6"/>
  <c r="BF12" i="6"/>
  <c r="T17" i="6"/>
  <c r="BM17" i="6"/>
  <c r="AP19" i="6"/>
  <c r="V12" i="6"/>
  <c r="BP12" i="6"/>
  <c r="BP143" i="6" s="1"/>
  <c r="AD17" i="6"/>
  <c r="BO17" i="6"/>
  <c r="AA19" i="6"/>
  <c r="CM19" i="6"/>
  <c r="Q12" i="6"/>
  <c r="Q159" i="6" s="1"/>
  <c r="AI12" i="6"/>
  <c r="AI38" i="6" s="1"/>
  <c r="BJ12" i="6"/>
  <c r="BJ143" i="6" s="1"/>
  <c r="CL12" i="6"/>
  <c r="O17" i="6"/>
  <c r="AQ17" i="6"/>
  <c r="CC17" i="6"/>
  <c r="CD19" i="6"/>
  <c r="CD56" i="6" s="1"/>
  <c r="CL249" i="6"/>
  <c r="V250" i="6"/>
  <c r="AN250" i="6"/>
  <c r="BK250" i="6"/>
  <c r="CH250" i="6"/>
  <c r="M251" i="6"/>
  <c r="AJ251" i="6"/>
  <c r="BG251" i="6"/>
  <c r="AW12" i="6"/>
  <c r="AW159" i="6" s="1"/>
  <c r="CG12" i="6"/>
  <c r="CG38" i="6" s="1"/>
  <c r="AC17" i="6"/>
  <c r="BD17" i="6"/>
  <c r="J19" i="6"/>
  <c r="J161" i="6" s="1"/>
  <c r="BV19" i="6"/>
  <c r="BV56" i="6" s="1"/>
  <c r="M12" i="6"/>
  <c r="AX12" i="6"/>
  <c r="AX143" i="6" s="1"/>
  <c r="BY12" i="6"/>
  <c r="BY38" i="6" s="1"/>
  <c r="L17" i="6"/>
  <c r="L21" i="6" s="1"/>
  <c r="AM17" i="6"/>
  <c r="AM21" i="6" s="1"/>
  <c r="BY17" i="6"/>
  <c r="BG19" i="6"/>
  <c r="BG145" i="6" s="1"/>
  <c r="H12" i="6"/>
  <c r="Z12" i="6"/>
  <c r="AR12" i="6"/>
  <c r="AR38" i="6" s="1"/>
  <c r="BA12" i="6"/>
  <c r="BA54" i="6" s="1"/>
  <c r="BT12" i="6"/>
  <c r="BT143" i="6" s="1"/>
  <c r="CC12" i="6"/>
  <c r="F17" i="6"/>
  <c r="X17" i="6"/>
  <c r="AG17" i="6"/>
  <c r="AZ17" i="6"/>
  <c r="AZ21" i="6" s="1"/>
  <c r="BI17" i="6"/>
  <c r="BR17" i="6"/>
  <c r="CP17" i="6"/>
  <c r="R19" i="6"/>
  <c r="AH19" i="6"/>
  <c r="AH161" i="6" s="1"/>
  <c r="AX19" i="6"/>
  <c r="AX40" i="6" s="1"/>
  <c r="BN19" i="6"/>
  <c r="BN56" i="6" s="1"/>
  <c r="I12" i="6"/>
  <c r="I38" i="6" s="1"/>
  <c r="R12" i="6"/>
  <c r="R143" i="6" s="1"/>
  <c r="AA12" i="6"/>
  <c r="AA143" i="6" s="1"/>
  <c r="AJ12" i="6"/>
  <c r="AJ38" i="6" s="1"/>
  <c r="AS12" i="6"/>
  <c r="BB12" i="6"/>
  <c r="BL12" i="6"/>
  <c r="BU12" i="6"/>
  <c r="CD12" i="6"/>
  <c r="CM12" i="6"/>
  <c r="CM143" i="6" s="1"/>
  <c r="G17" i="6"/>
  <c r="P17" i="6"/>
  <c r="Y17" i="6"/>
  <c r="AI17" i="6"/>
  <c r="AR17" i="6"/>
  <c r="BA17" i="6"/>
  <c r="BJ17" i="6"/>
  <c r="BS17" i="6"/>
  <c r="CE17" i="6"/>
  <c r="D19" i="6"/>
  <c r="D161" i="6" s="1"/>
  <c r="S19" i="6"/>
  <c r="AI19" i="6"/>
  <c r="AI145" i="6" s="1"/>
  <c r="AY19" i="6"/>
  <c r="AY145" i="6" s="1"/>
  <c r="BO19" i="6"/>
  <c r="CE19" i="6"/>
  <c r="CE161" i="6" s="1"/>
  <c r="C137" i="6"/>
  <c r="S251" i="6"/>
  <c r="AK251" i="6"/>
  <c r="BH251" i="6"/>
  <c r="C150" i="6"/>
  <c r="D249" i="6"/>
  <c r="L249" i="6"/>
  <c r="T249" i="6"/>
  <c r="AB249" i="6"/>
  <c r="AJ249" i="6"/>
  <c r="AR249" i="6"/>
  <c r="AZ249" i="6"/>
  <c r="BH249" i="6"/>
  <c r="BP249" i="6"/>
  <c r="BX249" i="6"/>
  <c r="CF249" i="6"/>
  <c r="CN249" i="6"/>
  <c r="I250" i="6"/>
  <c r="Q250" i="6"/>
  <c r="Y250" i="6"/>
  <c r="AG250" i="6"/>
  <c r="AO250" i="6"/>
  <c r="AW250" i="6"/>
  <c r="BE250" i="6"/>
  <c r="BM250" i="6"/>
  <c r="BU250" i="6"/>
  <c r="CC250" i="6"/>
  <c r="CK250" i="6"/>
  <c r="F251" i="6"/>
  <c r="N251" i="6"/>
  <c r="V251" i="6"/>
  <c r="AD251" i="6"/>
  <c r="AL251" i="6"/>
  <c r="AT251" i="6"/>
  <c r="BB251" i="6"/>
  <c r="BJ251" i="6"/>
  <c r="BR251" i="6"/>
  <c r="BZ251" i="6"/>
  <c r="CH251" i="6"/>
  <c r="CP251" i="6"/>
  <c r="C179" i="6"/>
  <c r="E249" i="6"/>
  <c r="M249" i="6"/>
  <c r="U249" i="6"/>
  <c r="AC249" i="6"/>
  <c r="AK249" i="6"/>
  <c r="AS249" i="6"/>
  <c r="BA249" i="6"/>
  <c r="BI249" i="6"/>
  <c r="BQ249" i="6"/>
  <c r="BY249" i="6"/>
  <c r="CG249" i="6"/>
  <c r="CO249" i="6"/>
  <c r="J250" i="6"/>
  <c r="R250" i="6"/>
  <c r="Z250" i="6"/>
  <c r="AH250" i="6"/>
  <c r="AP250" i="6"/>
  <c r="AX250" i="6"/>
  <c r="BF250" i="6"/>
  <c r="BN250" i="6"/>
  <c r="BV250" i="6"/>
  <c r="CD250" i="6"/>
  <c r="CL250" i="6"/>
  <c r="G251" i="6"/>
  <c r="O251" i="6"/>
  <c r="W251" i="6"/>
  <c r="AE251" i="6"/>
  <c r="AM251" i="6"/>
  <c r="AU251" i="6"/>
  <c r="BC251" i="6"/>
  <c r="BK251" i="6"/>
  <c r="BS251" i="6"/>
  <c r="CA251" i="6"/>
  <c r="CI251" i="6"/>
  <c r="K9" i="6"/>
  <c r="K53" i="6" s="1"/>
  <c r="S9" i="6"/>
  <c r="S142" i="6" s="1"/>
  <c r="AA9" i="6"/>
  <c r="AA37" i="6" s="1"/>
  <c r="AI9" i="6"/>
  <c r="AI37" i="6" s="1"/>
  <c r="AQ9" i="6"/>
  <c r="AQ53" i="6" s="1"/>
  <c r="AY9" i="6"/>
  <c r="BG9" i="6"/>
  <c r="BG158" i="6" s="1"/>
  <c r="BO9" i="6"/>
  <c r="BO53" i="6" s="1"/>
  <c r="BW9" i="6"/>
  <c r="BW37" i="6" s="1"/>
  <c r="CE9" i="6"/>
  <c r="CE37" i="6" s="1"/>
  <c r="CM9" i="6"/>
  <c r="J17" i="6"/>
  <c r="R17" i="6"/>
  <c r="Z17" i="6"/>
  <c r="AH17" i="6"/>
  <c r="AH21" i="6" s="1"/>
  <c r="AP17" i="6"/>
  <c r="AX17" i="6"/>
  <c r="BF17" i="6"/>
  <c r="BN17" i="6"/>
  <c r="BN21" i="6" s="1"/>
  <c r="BV17" i="6"/>
  <c r="CD17" i="6"/>
  <c r="CD21" i="6" s="1"/>
  <c r="CL17" i="6"/>
  <c r="CL21" i="6" s="1"/>
  <c r="C29" i="6"/>
  <c r="F249" i="6"/>
  <c r="N249" i="6"/>
  <c r="V249" i="6"/>
  <c r="AD249" i="6"/>
  <c r="AD259" i="6" s="1"/>
  <c r="AL249" i="6"/>
  <c r="AT249" i="6"/>
  <c r="BB249" i="6"/>
  <c r="BJ249" i="6"/>
  <c r="BR249" i="6"/>
  <c r="BZ249" i="6"/>
  <c r="CH249" i="6"/>
  <c r="CP249" i="6"/>
  <c r="K250" i="6"/>
  <c r="S250" i="6"/>
  <c r="AA250" i="6"/>
  <c r="AA259" i="6" s="1"/>
  <c r="AI250" i="6"/>
  <c r="AQ250" i="6"/>
  <c r="AY250" i="6"/>
  <c r="BG250" i="6"/>
  <c r="BO250" i="6"/>
  <c r="BW250" i="6"/>
  <c r="CE250" i="6"/>
  <c r="CM250" i="6"/>
  <c r="H251" i="6"/>
  <c r="P251" i="6"/>
  <c r="X251" i="6"/>
  <c r="AF251" i="6"/>
  <c r="AN251" i="6"/>
  <c r="AV251" i="6"/>
  <c r="BD251" i="6"/>
  <c r="BL251" i="6"/>
  <c r="BT251" i="6"/>
  <c r="CB251" i="6"/>
  <c r="CJ251" i="6"/>
  <c r="CJ259" i="6" s="1"/>
  <c r="C134" i="6"/>
  <c r="G249" i="6"/>
  <c r="O249" i="6"/>
  <c r="W249" i="6"/>
  <c r="AE249" i="6"/>
  <c r="AM249" i="6"/>
  <c r="AM259" i="6" s="1"/>
  <c r="AU249" i="6"/>
  <c r="BC249" i="6"/>
  <c r="BK249" i="6"/>
  <c r="BS249" i="6"/>
  <c r="CA249" i="6"/>
  <c r="CI249" i="6"/>
  <c r="D250" i="6"/>
  <c r="L250" i="6"/>
  <c r="T250" i="6"/>
  <c r="AB250" i="6"/>
  <c r="AJ250" i="6"/>
  <c r="AR250" i="6"/>
  <c r="AZ250" i="6"/>
  <c r="BH250" i="6"/>
  <c r="BP250" i="6"/>
  <c r="BX250" i="6"/>
  <c r="BX259" i="6" s="1"/>
  <c r="CF250" i="6"/>
  <c r="CN250" i="6"/>
  <c r="I251" i="6"/>
  <c r="Q251" i="6"/>
  <c r="Y251" i="6"/>
  <c r="AG251" i="6"/>
  <c r="AO251" i="6"/>
  <c r="AW251" i="6"/>
  <c r="AW259" i="6" s="1"/>
  <c r="BE251" i="6"/>
  <c r="BM251" i="6"/>
  <c r="BU251" i="6"/>
  <c r="CC251" i="6"/>
  <c r="CK251" i="6"/>
  <c r="C178" i="6"/>
  <c r="H249" i="6"/>
  <c r="P249" i="6"/>
  <c r="X249" i="6"/>
  <c r="AF249" i="6"/>
  <c r="AN249" i="6"/>
  <c r="AV249" i="6"/>
  <c r="AV259" i="6" s="1"/>
  <c r="BD249" i="6"/>
  <c r="BL249" i="6"/>
  <c r="BT249" i="6"/>
  <c r="CB249" i="6"/>
  <c r="CG250" i="6"/>
  <c r="CO250" i="6"/>
  <c r="J251" i="6"/>
  <c r="R251" i="6"/>
  <c r="Z251" i="6"/>
  <c r="AH251" i="6"/>
  <c r="AP251" i="6"/>
  <c r="AX251" i="6"/>
  <c r="BF251" i="6"/>
  <c r="BN251" i="6"/>
  <c r="BV251" i="6"/>
  <c r="CD251" i="6"/>
  <c r="CD259" i="6" s="1"/>
  <c r="C185" i="6"/>
  <c r="C187" i="6" s="1"/>
  <c r="AS259" i="6"/>
  <c r="CD40" i="6"/>
  <c r="H158" i="6"/>
  <c r="H142" i="6"/>
  <c r="AB158" i="6"/>
  <c r="AB142" i="6"/>
  <c r="AB53" i="6"/>
  <c r="AN142" i="6"/>
  <c r="AZ142" i="6"/>
  <c r="CB158" i="6"/>
  <c r="CB142" i="6"/>
  <c r="CN158" i="6"/>
  <c r="CN142" i="6"/>
  <c r="CN53" i="6"/>
  <c r="AV54" i="6"/>
  <c r="AV38" i="6"/>
  <c r="H161" i="6"/>
  <c r="H145" i="6"/>
  <c r="X161" i="6"/>
  <c r="X145" i="6"/>
  <c r="AB161" i="6"/>
  <c r="AF145" i="6"/>
  <c r="AF161" i="6"/>
  <c r="AF40" i="6"/>
  <c r="AJ161" i="6"/>
  <c r="AJ145" i="6"/>
  <c r="AN145" i="6"/>
  <c r="AR145" i="6"/>
  <c r="AV161" i="6"/>
  <c r="AV145" i="6"/>
  <c r="BD145" i="6"/>
  <c r="BL145" i="6"/>
  <c r="BL161" i="6"/>
  <c r="BP161" i="6"/>
  <c r="BP145" i="6"/>
  <c r="CJ161" i="6"/>
  <c r="CJ145" i="6"/>
  <c r="P142" i="6"/>
  <c r="AJ158" i="6"/>
  <c r="AJ142" i="6"/>
  <c r="AJ37" i="6"/>
  <c r="AJ53" i="6"/>
  <c r="BH158" i="6"/>
  <c r="BH37" i="6"/>
  <c r="BH142" i="6"/>
  <c r="BT158" i="6"/>
  <c r="BT37" i="6"/>
  <c r="BT142" i="6"/>
  <c r="CJ158" i="6"/>
  <c r="CJ142" i="6"/>
  <c r="CJ37" i="6"/>
  <c r="I158" i="6"/>
  <c r="I53" i="6"/>
  <c r="I37" i="6"/>
  <c r="I142" i="6"/>
  <c r="U37" i="6"/>
  <c r="AS158" i="6"/>
  <c r="AS142" i="6"/>
  <c r="AS37" i="6"/>
  <c r="BQ158" i="6"/>
  <c r="BQ142" i="6"/>
  <c r="CG158" i="6"/>
  <c r="CG142" i="6"/>
  <c r="CG53" i="6"/>
  <c r="I145" i="6"/>
  <c r="M56" i="6"/>
  <c r="Q145" i="6"/>
  <c r="U145" i="6"/>
  <c r="AW161" i="6"/>
  <c r="BA161" i="6"/>
  <c r="BU161" i="6"/>
  <c r="BU145" i="6"/>
  <c r="BY145" i="6"/>
  <c r="CC145" i="6"/>
  <c r="CG161" i="6"/>
  <c r="CG56" i="6"/>
  <c r="CN37" i="6"/>
  <c r="CB53" i="6"/>
  <c r="AP158" i="6"/>
  <c r="AP142" i="6"/>
  <c r="AX158" i="6"/>
  <c r="AX142" i="6"/>
  <c r="BB158" i="6"/>
  <c r="BB142" i="6"/>
  <c r="BF158" i="6"/>
  <c r="BF142" i="6"/>
  <c r="BJ142" i="6"/>
  <c r="BN158" i="6"/>
  <c r="BN142" i="6"/>
  <c r="BV142" i="6"/>
  <c r="BZ142" i="6"/>
  <c r="CD158" i="6"/>
  <c r="CD142" i="6"/>
  <c r="CH158" i="6"/>
  <c r="CH142" i="6"/>
  <c r="CL158" i="6"/>
  <c r="CL142" i="6"/>
  <c r="CP142" i="6"/>
  <c r="F161" i="6"/>
  <c r="AD161" i="6"/>
  <c r="AD145" i="6"/>
  <c r="AL161" i="6"/>
  <c r="BF145" i="6"/>
  <c r="BJ145" i="6"/>
  <c r="BJ56" i="6"/>
  <c r="AJ40" i="6"/>
  <c r="D158" i="6"/>
  <c r="D37" i="6"/>
  <c r="D142" i="6"/>
  <c r="T158" i="6"/>
  <c r="X158" i="6"/>
  <c r="X142" i="6"/>
  <c r="AR158" i="6"/>
  <c r="AR142" i="6"/>
  <c r="AR37" i="6"/>
  <c r="AR53" i="6"/>
  <c r="BD158" i="6"/>
  <c r="BD142" i="6"/>
  <c r="BL158" i="6"/>
  <c r="BL142" i="6"/>
  <c r="BX158" i="6"/>
  <c r="BX142" i="6"/>
  <c r="CF158" i="6"/>
  <c r="CF142" i="6"/>
  <c r="M158" i="6"/>
  <c r="M142" i="6"/>
  <c r="Q158" i="6"/>
  <c r="Q53" i="6"/>
  <c r="Q142" i="6"/>
  <c r="AG158" i="6"/>
  <c r="AG142" i="6"/>
  <c r="AK53" i="6"/>
  <c r="AO158" i="6"/>
  <c r="AO142" i="6"/>
  <c r="AW158" i="6"/>
  <c r="AW53" i="6"/>
  <c r="AW142" i="6"/>
  <c r="BA158" i="6"/>
  <c r="BA142" i="6"/>
  <c r="BA53" i="6"/>
  <c r="BI158" i="6"/>
  <c r="BI142" i="6"/>
  <c r="BM158" i="6"/>
  <c r="BM53" i="6"/>
  <c r="BY158" i="6"/>
  <c r="BY142" i="6"/>
  <c r="CC158" i="6"/>
  <c r="CC37" i="6"/>
  <c r="CC142" i="6"/>
  <c r="CC53" i="6"/>
  <c r="CK158" i="6"/>
  <c r="CO158" i="6"/>
  <c r="CO142" i="6"/>
  <c r="J158" i="6"/>
  <c r="J142" i="6"/>
  <c r="J37" i="6"/>
  <c r="N158" i="6"/>
  <c r="R158" i="6"/>
  <c r="R142" i="6"/>
  <c r="V158" i="6"/>
  <c r="V142" i="6"/>
  <c r="Z158" i="6"/>
  <c r="Z142" i="6"/>
  <c r="Z37" i="6"/>
  <c r="AD158" i="6"/>
  <c r="AD142" i="6"/>
  <c r="AD37" i="6"/>
  <c r="AH158" i="6"/>
  <c r="AH142" i="6"/>
  <c r="AL158" i="6"/>
  <c r="AL142" i="6"/>
  <c r="G142" i="6"/>
  <c r="G158" i="6"/>
  <c r="G53" i="6"/>
  <c r="O158" i="6"/>
  <c r="O142" i="6"/>
  <c r="O37" i="6"/>
  <c r="S158" i="6"/>
  <c r="W142" i="6"/>
  <c r="W158" i="6"/>
  <c r="AA158" i="6"/>
  <c r="AA142" i="6"/>
  <c r="AE158" i="6"/>
  <c r="AE142" i="6"/>
  <c r="AI158" i="6"/>
  <c r="AI142" i="6"/>
  <c r="AM142" i="6"/>
  <c r="AM158" i="6"/>
  <c r="AM53" i="6"/>
  <c r="AM37" i="6"/>
  <c r="AQ142" i="6"/>
  <c r="AQ158" i="6"/>
  <c r="AU158" i="6"/>
  <c r="AU142" i="6"/>
  <c r="AU53" i="6"/>
  <c r="BC142" i="6"/>
  <c r="BC158" i="6"/>
  <c r="BG142" i="6"/>
  <c r="BK158" i="6"/>
  <c r="BK142" i="6"/>
  <c r="CA37" i="6"/>
  <c r="CI158" i="6"/>
  <c r="CI142" i="6"/>
  <c r="CI53" i="6"/>
  <c r="CI37" i="6"/>
  <c r="CM142" i="6"/>
  <c r="CM158" i="6"/>
  <c r="K159" i="6"/>
  <c r="K143" i="6"/>
  <c r="O143" i="6"/>
  <c r="AQ54" i="6"/>
  <c r="AQ143" i="6"/>
  <c r="AU54" i="6"/>
  <c r="BG143" i="6"/>
  <c r="BK54" i="6"/>
  <c r="BK143" i="6"/>
  <c r="BW54" i="6"/>
  <c r="BW143" i="6"/>
  <c r="CA54" i="6"/>
  <c r="CA143" i="6"/>
  <c r="CE54" i="6"/>
  <c r="CE159" i="6"/>
  <c r="CM159" i="6"/>
  <c r="K161" i="6"/>
  <c r="K145" i="6"/>
  <c r="AA161" i="6"/>
  <c r="AA145" i="6"/>
  <c r="AE145" i="6"/>
  <c r="AE56" i="6"/>
  <c r="AM145" i="6"/>
  <c r="AQ161" i="6"/>
  <c r="AQ145" i="6"/>
  <c r="AU161" i="6"/>
  <c r="AU40" i="6"/>
  <c r="BO161" i="6"/>
  <c r="BO145" i="6"/>
  <c r="BO56" i="6"/>
  <c r="BS145" i="6"/>
  <c r="BW161" i="6"/>
  <c r="BW145" i="6"/>
  <c r="BW40" i="6"/>
  <c r="CE145" i="6"/>
  <c r="CM161" i="6"/>
  <c r="CM145" i="6"/>
  <c r="G37" i="6"/>
  <c r="R37" i="6"/>
  <c r="AO37" i="6"/>
  <c r="BD37" i="6"/>
  <c r="CF37" i="6"/>
  <c r="K40" i="6"/>
  <c r="AM40" i="6"/>
  <c r="BP40" i="6"/>
  <c r="W53" i="6"/>
  <c r="BH53" i="6"/>
  <c r="BN161" i="6"/>
  <c r="BN145" i="6"/>
  <c r="BV161" i="6"/>
  <c r="BV145" i="6"/>
  <c r="CD161" i="6"/>
  <c r="CD145" i="6"/>
  <c r="CH161" i="6"/>
  <c r="CH145" i="6"/>
  <c r="CL161" i="6"/>
  <c r="CL145" i="6"/>
  <c r="CL40" i="6"/>
  <c r="M159" i="6"/>
  <c r="M143" i="6"/>
  <c r="M54" i="6"/>
  <c r="AO159" i="6"/>
  <c r="AO143" i="6"/>
  <c r="AW143" i="6"/>
  <c r="BE159" i="6"/>
  <c r="BE143" i="6"/>
  <c r="BE54" i="6"/>
  <c r="BM159" i="6"/>
  <c r="BM143" i="6"/>
  <c r="BM38" i="6"/>
  <c r="BU159" i="6"/>
  <c r="BU143" i="6"/>
  <c r="BU54" i="6"/>
  <c r="J159" i="6"/>
  <c r="J143" i="6"/>
  <c r="R159" i="6"/>
  <c r="AT159" i="6"/>
  <c r="AT143" i="6"/>
  <c r="AX159" i="6"/>
  <c r="BF159" i="6"/>
  <c r="BF143" i="6"/>
  <c r="BF38" i="6"/>
  <c r="BN159" i="6"/>
  <c r="BN143" i="6"/>
  <c r="BV159" i="6"/>
  <c r="BV143" i="6"/>
  <c r="BZ159" i="6"/>
  <c r="CD159" i="6"/>
  <c r="CD143" i="6"/>
  <c r="CD38" i="6"/>
  <c r="CL143" i="6"/>
  <c r="E54" i="6"/>
  <c r="AA54" i="6"/>
  <c r="AI143" i="6"/>
  <c r="AY143" i="6"/>
  <c r="AM159" i="6"/>
  <c r="CI159" i="6"/>
  <c r="I54" i="6"/>
  <c r="I159" i="6"/>
  <c r="I143" i="6"/>
  <c r="Q38" i="6"/>
  <c r="AC38" i="6"/>
  <c r="AC159" i="6"/>
  <c r="AC143" i="6"/>
  <c r="AC54" i="6"/>
  <c r="AK159" i="6"/>
  <c r="AK143" i="6"/>
  <c r="AK54" i="6"/>
  <c r="AK38" i="6"/>
  <c r="BA143" i="6"/>
  <c r="BI54" i="6"/>
  <c r="BI159" i="6"/>
  <c r="BI143" i="6"/>
  <c r="BQ159" i="6"/>
  <c r="BQ143" i="6"/>
  <c r="BQ38" i="6"/>
  <c r="CK54" i="6"/>
  <c r="CK159" i="6"/>
  <c r="CO159" i="6"/>
  <c r="CO143" i="6"/>
  <c r="CO54" i="6"/>
  <c r="CO38" i="6"/>
  <c r="BQ54" i="6"/>
  <c r="N38" i="6"/>
  <c r="Z159" i="6"/>
  <c r="Z143" i="6"/>
  <c r="Z38" i="6"/>
  <c r="AD159" i="6"/>
  <c r="AD143" i="6"/>
  <c r="BB159" i="6"/>
  <c r="BB143" i="6"/>
  <c r="BB38" i="6"/>
  <c r="D38" i="6"/>
  <c r="D159" i="6"/>
  <c r="H54" i="6"/>
  <c r="H159" i="6"/>
  <c r="H143" i="6"/>
  <c r="L159" i="6"/>
  <c r="L143" i="6"/>
  <c r="L54" i="6"/>
  <c r="L38" i="6"/>
  <c r="T54" i="6"/>
  <c r="T159" i="6"/>
  <c r="T143" i="6"/>
  <c r="X143" i="6"/>
  <c r="AB143" i="6"/>
  <c r="AF54" i="6"/>
  <c r="AF159" i="6"/>
  <c r="AF143" i="6"/>
  <c r="AN54" i="6"/>
  <c r="AN38" i="6"/>
  <c r="AN159" i="6"/>
  <c r="AN143" i="6"/>
  <c r="AV159" i="6"/>
  <c r="AV143" i="6"/>
  <c r="AZ54" i="6"/>
  <c r="AZ159" i="6"/>
  <c r="AZ143" i="6"/>
  <c r="BL159" i="6"/>
  <c r="BL143" i="6"/>
  <c r="BL54" i="6"/>
  <c r="BP54" i="6"/>
  <c r="BP159" i="6"/>
  <c r="CB54" i="6"/>
  <c r="CB159" i="6"/>
  <c r="CB143" i="6"/>
  <c r="AA21" i="6"/>
  <c r="AQ21" i="6"/>
  <c r="T38" i="6"/>
  <c r="J54" i="6"/>
  <c r="CM54" i="6"/>
  <c r="BG159" i="6"/>
  <c r="BW159" i="6"/>
  <c r="CG40" i="6"/>
  <c r="BU40" i="6"/>
  <c r="AW40" i="6"/>
  <c r="AG40" i="6"/>
  <c r="U40" i="6"/>
  <c r="Q40" i="6"/>
  <c r="CA38" i="6"/>
  <c r="BW38" i="6"/>
  <c r="BG38" i="6"/>
  <c r="BC38" i="6"/>
  <c r="AY38" i="6"/>
  <c r="AQ38" i="6"/>
  <c r="AM38" i="6"/>
  <c r="O38" i="6"/>
  <c r="K38" i="6"/>
  <c r="G38" i="6"/>
  <c r="CE40" i="6"/>
  <c r="BO40" i="6"/>
  <c r="BD40" i="6"/>
  <c r="AI40" i="6"/>
  <c r="AD40" i="6"/>
  <c r="X40" i="6"/>
  <c r="H40" i="6"/>
  <c r="CF38" i="6"/>
  <c r="BZ38" i="6"/>
  <c r="BU38" i="6"/>
  <c r="BP38" i="6"/>
  <c r="BE38" i="6"/>
  <c r="AZ38" i="6"/>
  <c r="AT38" i="6"/>
  <c r="AO38" i="6"/>
  <c r="AD38" i="6"/>
  <c r="H38" i="6"/>
  <c r="M38" i="6"/>
  <c r="X38" i="6"/>
  <c r="AF38" i="6"/>
  <c r="AL38" i="6"/>
  <c r="BA38" i="6"/>
  <c r="BN38" i="6"/>
  <c r="BV38" i="6"/>
  <c r="F40" i="6"/>
  <c r="AA40" i="6"/>
  <c r="AV40" i="6"/>
  <c r="CM40" i="6"/>
  <c r="CP37" i="6"/>
  <c r="CL37" i="6"/>
  <c r="CH37" i="6"/>
  <c r="CD37" i="6"/>
  <c r="BN37" i="6"/>
  <c r="BJ37" i="6"/>
  <c r="BB37" i="6"/>
  <c r="AX37" i="6"/>
  <c r="AL37" i="6"/>
  <c r="AH37" i="6"/>
  <c r="H37" i="6"/>
  <c r="L37" i="6"/>
  <c r="T37" i="6"/>
  <c r="X37" i="6"/>
  <c r="AB37" i="6"/>
  <c r="AQ37" i="6"/>
  <c r="AV37" i="6"/>
  <c r="BA37" i="6"/>
  <c r="BG37" i="6"/>
  <c r="BL37" i="6"/>
  <c r="BQ37" i="6"/>
  <c r="CB37" i="6"/>
  <c r="CG37" i="6"/>
  <c r="CM37" i="6"/>
  <c r="J38" i="6"/>
  <c r="AW38" i="6"/>
  <c r="BD38" i="6"/>
  <c r="BL38" i="6"/>
  <c r="P40" i="6"/>
  <c r="AZ40" i="6"/>
  <c r="BN40" i="6"/>
  <c r="BV40" i="6"/>
  <c r="CP53" i="6"/>
  <c r="CL53" i="6"/>
  <c r="CH53" i="6"/>
  <c r="CD53" i="6"/>
  <c r="BZ53" i="6"/>
  <c r="BV53" i="6"/>
  <c r="BN53" i="6"/>
  <c r="BJ53" i="6"/>
  <c r="BB53" i="6"/>
  <c r="AX53" i="6"/>
  <c r="AP53" i="6"/>
  <c r="AL53" i="6"/>
  <c r="AH53" i="6"/>
  <c r="AD53" i="6"/>
  <c r="Z53" i="6"/>
  <c r="V53" i="6"/>
  <c r="R53" i="6"/>
  <c r="N53" i="6"/>
  <c r="J53" i="6"/>
  <c r="CJ53" i="6"/>
  <c r="BY53" i="6"/>
  <c r="BT53" i="6"/>
  <c r="BI53" i="6"/>
  <c r="BD53" i="6"/>
  <c r="AY53" i="6"/>
  <c r="AS53" i="6"/>
  <c r="AI53" i="6"/>
  <c r="X53" i="6"/>
  <c r="M53" i="6"/>
  <c r="H53" i="6"/>
  <c r="C51" i="6"/>
  <c r="AF55" i="6" s="1"/>
  <c r="T53" i="6"/>
  <c r="AA53" i="6"/>
  <c r="AG53" i="6"/>
  <c r="AO53" i="6"/>
  <c r="AV53" i="6"/>
  <c r="BC53" i="6"/>
  <c r="BK53" i="6"/>
  <c r="BQ53" i="6"/>
  <c r="BX53" i="6"/>
  <c r="CF53" i="6"/>
  <c r="CM53" i="6"/>
  <c r="CJ56" i="6"/>
  <c r="CF56" i="6"/>
  <c r="BT56" i="6"/>
  <c r="BP56" i="6"/>
  <c r="BH56" i="6"/>
  <c r="AV56" i="6"/>
  <c r="AN56" i="6"/>
  <c r="AJ56" i="6"/>
  <c r="AF56" i="6"/>
  <c r="X56" i="6"/>
  <c r="H56" i="6"/>
  <c r="CL54" i="6"/>
  <c r="CH54" i="6"/>
  <c r="CD54" i="6"/>
  <c r="BV54" i="6"/>
  <c r="BN54" i="6"/>
  <c r="BF54" i="6"/>
  <c r="BB54" i="6"/>
  <c r="AX54" i="6"/>
  <c r="AT54" i="6"/>
  <c r="AD54" i="6"/>
  <c r="Z54" i="6"/>
  <c r="G54" i="6"/>
  <c r="K54" i="6"/>
  <c r="O54" i="6"/>
  <c r="S54" i="6"/>
  <c r="AM54" i="6"/>
  <c r="BM54" i="6"/>
  <c r="K56" i="6"/>
  <c r="AA56" i="6"/>
  <c r="AG56" i="6"/>
  <c r="AQ56" i="6"/>
  <c r="AW56" i="6"/>
  <c r="BW56" i="6"/>
  <c r="CH56" i="6"/>
  <c r="CM56" i="6"/>
  <c r="D7" i="4"/>
  <c r="AH259" i="6" l="1"/>
  <c r="K259" i="6"/>
  <c r="AT259" i="6"/>
  <c r="AJ259" i="6"/>
  <c r="CH259" i="6"/>
  <c r="CL259" i="6"/>
  <c r="BD259" i="6"/>
  <c r="U259" i="6"/>
  <c r="BG259" i="6"/>
  <c r="AY259" i="6"/>
  <c r="AG259" i="6"/>
  <c r="BE259" i="6"/>
  <c r="CE56" i="6"/>
  <c r="U21" i="6"/>
  <c r="AY161" i="6"/>
  <c r="M21" i="6"/>
  <c r="CI21" i="6"/>
  <c r="Q259" i="6"/>
  <c r="D259" i="6"/>
  <c r="D260" i="6" s="1"/>
  <c r="BN259" i="6"/>
  <c r="BZ259" i="6"/>
  <c r="N259" i="6"/>
  <c r="AU259" i="6"/>
  <c r="BR259" i="6"/>
  <c r="F259" i="6"/>
  <c r="AF259" i="6"/>
  <c r="BC259" i="6"/>
  <c r="CG259" i="6"/>
  <c r="BA259" i="6"/>
  <c r="CK259" i="6"/>
  <c r="AZ259" i="6"/>
  <c r="AN259" i="6"/>
  <c r="AC259" i="6"/>
  <c r="BV259" i="6"/>
  <c r="AD21" i="6"/>
  <c r="AV21" i="6"/>
  <c r="BH21" i="6"/>
  <c r="CB21" i="6"/>
  <c r="BV160" i="6"/>
  <c r="BL21" i="6"/>
  <c r="CJ21" i="6"/>
  <c r="K144" i="6"/>
  <c r="BB21" i="6"/>
  <c r="BI259" i="6"/>
  <c r="H259" i="6"/>
  <c r="CF259" i="6"/>
  <c r="T259" i="6"/>
  <c r="CI259" i="6"/>
  <c r="W259" i="6"/>
  <c r="BY259" i="6"/>
  <c r="M259" i="6"/>
  <c r="BB259" i="6"/>
  <c r="AR259" i="6"/>
  <c r="V259" i="6"/>
  <c r="L259" i="6"/>
  <c r="Z259" i="6"/>
  <c r="AL259" i="6"/>
  <c r="R259" i="6"/>
  <c r="CP259" i="6"/>
  <c r="BP259" i="6"/>
  <c r="AI160" i="6"/>
  <c r="BJ144" i="6"/>
  <c r="BJ146" i="6" s="1"/>
  <c r="BE39" i="6"/>
  <c r="CB259" i="6"/>
  <c r="E259" i="6"/>
  <c r="E260" i="6" s="1"/>
  <c r="F260" i="6" s="1"/>
  <c r="S259" i="6"/>
  <c r="AO259" i="6"/>
  <c r="J259" i="6"/>
  <c r="BK259" i="6"/>
  <c r="X259" i="6"/>
  <c r="CA259" i="6"/>
  <c r="CM259" i="6"/>
  <c r="BL259" i="6"/>
  <c r="CO259" i="6"/>
  <c r="O259" i="6"/>
  <c r="Y259" i="6"/>
  <c r="P259" i="6"/>
  <c r="BJ259" i="6"/>
  <c r="BU259" i="6"/>
  <c r="BW259" i="6"/>
  <c r="CE259" i="6"/>
  <c r="CC259" i="6"/>
  <c r="BQ259" i="6"/>
  <c r="I259" i="6"/>
  <c r="BT259" i="6"/>
  <c r="BS259" i="6"/>
  <c r="G259" i="6"/>
  <c r="BO259" i="6"/>
  <c r="BH54" i="6"/>
  <c r="CP54" i="6"/>
  <c r="AR40" i="6"/>
  <c r="AW54" i="6"/>
  <c r="BJ40" i="6"/>
  <c r="CN159" i="6"/>
  <c r="BA159" i="6"/>
  <c r="AA159" i="6"/>
  <c r="Q56" i="6"/>
  <c r="L56" i="6"/>
  <c r="AZ56" i="6"/>
  <c r="CN38" i="6"/>
  <c r="AB38" i="6"/>
  <c r="CP38" i="6"/>
  <c r="AA38" i="6"/>
  <c r="BA40" i="6"/>
  <c r="CF143" i="6"/>
  <c r="BX159" i="6"/>
  <c r="BH143" i="6"/>
  <c r="AJ54" i="6"/>
  <c r="CH143" i="6"/>
  <c r="AP159" i="6"/>
  <c r="AL143" i="6"/>
  <c r="F38" i="6"/>
  <c r="AG159" i="6"/>
  <c r="BR161" i="6"/>
  <c r="CI56" i="6"/>
  <c r="AY159" i="6"/>
  <c r="S159" i="6"/>
  <c r="BB161" i="6"/>
  <c r="V161" i="6"/>
  <c r="CK145" i="6"/>
  <c r="BQ161" i="6"/>
  <c r="AG145" i="6"/>
  <c r="E161" i="6"/>
  <c r="CF145" i="6"/>
  <c r="AZ145" i="6"/>
  <c r="H21" i="6"/>
  <c r="AB159" i="6"/>
  <c r="BA21" i="6"/>
  <c r="BC54" i="6"/>
  <c r="AR56" i="6"/>
  <c r="CA145" i="6"/>
  <c r="S38" i="6"/>
  <c r="CH38" i="6"/>
  <c r="CA161" i="6"/>
  <c r="AR54" i="6"/>
  <c r="CC56" i="6"/>
  <c r="BR54" i="6"/>
  <c r="P38" i="6"/>
  <c r="L40" i="6"/>
  <c r="BT40" i="6"/>
  <c r="BI40" i="6"/>
  <c r="BX38" i="6"/>
  <c r="CF159" i="6"/>
  <c r="BT54" i="6"/>
  <c r="BH159" i="6"/>
  <c r="AR143" i="6"/>
  <c r="Q54" i="6"/>
  <c r="BC159" i="6"/>
  <c r="CP143" i="6"/>
  <c r="AL159" i="6"/>
  <c r="F143" i="6"/>
  <c r="Y54" i="6"/>
  <c r="CI161" i="6"/>
  <c r="O40" i="6"/>
  <c r="AT56" i="6"/>
  <c r="BQ145" i="6"/>
  <c r="Y145" i="6"/>
  <c r="CF161" i="6"/>
  <c r="CF21" i="6"/>
  <c r="CH21" i="6"/>
  <c r="BH38" i="6"/>
  <c r="AU21" i="6"/>
  <c r="BA145" i="6"/>
  <c r="CJ55" i="6"/>
  <c r="BK38" i="6"/>
  <c r="BX143" i="6"/>
  <c r="AP143" i="6"/>
  <c r="L160" i="6"/>
  <c r="BF161" i="6"/>
  <c r="E56" i="6"/>
  <c r="CN54" i="6"/>
  <c r="AG54" i="6"/>
  <c r="AB56" i="6"/>
  <c r="BL56" i="6"/>
  <c r="R38" i="6"/>
  <c r="CE38" i="6"/>
  <c r="BT159" i="6"/>
  <c r="BD143" i="6"/>
  <c r="AR159" i="6"/>
  <c r="P143" i="6"/>
  <c r="BR143" i="6"/>
  <c r="Q143" i="6"/>
  <c r="AX38" i="6"/>
  <c r="R54" i="6"/>
  <c r="F159" i="6"/>
  <c r="O145" i="6"/>
  <c r="AU143" i="6"/>
  <c r="BL40" i="6"/>
  <c r="AT145" i="6"/>
  <c r="BI161" i="6"/>
  <c r="BT161" i="6"/>
  <c r="AR21" i="6"/>
  <c r="CK21" i="6"/>
  <c r="AK21" i="6"/>
  <c r="AG160" i="6"/>
  <c r="AB21" i="6"/>
  <c r="AT40" i="6"/>
  <c r="Q21" i="6"/>
  <c r="AT21" i="6"/>
  <c r="CA56" i="6"/>
  <c r="D54" i="6"/>
  <c r="V56" i="6"/>
  <c r="AP38" i="6"/>
  <c r="CK38" i="6"/>
  <c r="V145" i="6"/>
  <c r="T145" i="6"/>
  <c r="BR38" i="6"/>
  <c r="AU38" i="6"/>
  <c r="CM38" i="6"/>
  <c r="CC40" i="6"/>
  <c r="BD159" i="6"/>
  <c r="P159" i="6"/>
  <c r="O161" i="6"/>
  <c r="BF21" i="6"/>
  <c r="AW21" i="6"/>
  <c r="I21" i="6"/>
  <c r="AD55" i="6"/>
  <c r="AD57" i="6" s="1"/>
  <c r="BI55" i="6"/>
  <c r="AB55" i="6"/>
  <c r="J40" i="6"/>
  <c r="BO39" i="6"/>
  <c r="AR39" i="6"/>
  <c r="N40" i="6"/>
  <c r="BM40" i="6"/>
  <c r="CP55" i="6"/>
  <c r="O144" i="6"/>
  <c r="O146" i="6" s="1"/>
  <c r="CE144" i="6"/>
  <c r="AN160" i="6"/>
  <c r="CA160" i="6"/>
  <c r="CA53" i="6"/>
  <c r="J21" i="6"/>
  <c r="Y53" i="6"/>
  <c r="L142" i="6"/>
  <c r="BP37" i="6"/>
  <c r="AT142" i="6"/>
  <c r="CK161" i="6"/>
  <c r="BD161" i="6"/>
  <c r="AN161" i="6"/>
  <c r="AB145" i="6"/>
  <c r="AZ37" i="6"/>
  <c r="AX21" i="6"/>
  <c r="F21" i="6"/>
  <c r="BD21" i="6"/>
  <c r="BW21" i="6"/>
  <c r="BR56" i="6"/>
  <c r="S53" i="6"/>
  <c r="F53" i="6"/>
  <c r="BR53" i="6"/>
  <c r="CN55" i="6"/>
  <c r="BG40" i="6"/>
  <c r="CO39" i="6"/>
  <c r="P37" i="6"/>
  <c r="BU39" i="6"/>
  <c r="BU41" i="6" s="1"/>
  <c r="BF37" i="6"/>
  <c r="AV39" i="6"/>
  <c r="AV41" i="6" s="1"/>
  <c r="AV96" i="6" s="1"/>
  <c r="BR40" i="6"/>
  <c r="Y40" i="6"/>
  <c r="BQ40" i="6"/>
  <c r="BR21" i="6"/>
  <c r="BU21" i="6"/>
  <c r="AC37" i="6"/>
  <c r="CI145" i="6"/>
  <c r="AE161" i="6"/>
  <c r="F144" i="6"/>
  <c r="BK144" i="6"/>
  <c r="BB160" i="6"/>
  <c r="CJ160" i="6"/>
  <c r="AC160" i="6"/>
  <c r="AC162" i="6" s="1"/>
  <c r="CA142" i="6"/>
  <c r="CK142" i="6"/>
  <c r="BU53" i="6"/>
  <c r="Y142" i="6"/>
  <c r="E37" i="6"/>
  <c r="L158" i="6"/>
  <c r="AN37" i="6"/>
  <c r="BB145" i="6"/>
  <c r="AL145" i="6"/>
  <c r="BZ158" i="6"/>
  <c r="AT158" i="6"/>
  <c r="Y56" i="6"/>
  <c r="I161" i="6"/>
  <c r="AC142" i="6"/>
  <c r="D40" i="6"/>
  <c r="AZ158" i="6"/>
  <c r="AP21" i="6"/>
  <c r="Y21" i="6"/>
  <c r="CA21" i="6"/>
  <c r="E21" i="6"/>
  <c r="BG56" i="6"/>
  <c r="AI55" i="6"/>
  <c r="CE39" i="6"/>
  <c r="BB39" i="6"/>
  <c r="BB41" i="6" s="1"/>
  <c r="U144" i="6"/>
  <c r="E142" i="6"/>
  <c r="P21" i="6"/>
  <c r="AC53" i="6"/>
  <c r="D39" i="6"/>
  <c r="BI21" i="6"/>
  <c r="AB144" i="6"/>
  <c r="BS158" i="6"/>
  <c r="J56" i="6"/>
  <c r="BE37" i="6"/>
  <c r="F56" i="6"/>
  <c r="CB56" i="6"/>
  <c r="CE53" i="6"/>
  <c r="CE55" i="6"/>
  <c r="AL40" i="6"/>
  <c r="AX39" i="6"/>
  <c r="AK37" i="6"/>
  <c r="N39" i="6"/>
  <c r="BR37" i="6"/>
  <c r="L39" i="6"/>
  <c r="BX39" i="6"/>
  <c r="AH40" i="6"/>
  <c r="AS40" i="6"/>
  <c r="BV21" i="6"/>
  <c r="AP39" i="6"/>
  <c r="CE21" i="6"/>
  <c r="BS40" i="6"/>
  <c r="BG161" i="6"/>
  <c r="W56" i="6"/>
  <c r="G56" i="6"/>
  <c r="N144" i="6"/>
  <c r="AH144" i="6"/>
  <c r="AZ144" i="6"/>
  <c r="AZ146" i="6" s="1"/>
  <c r="CG144" i="6"/>
  <c r="CO160" i="6"/>
  <c r="BS142" i="6"/>
  <c r="F142" i="6"/>
  <c r="BU158" i="6"/>
  <c r="AK142" i="6"/>
  <c r="AX145" i="6"/>
  <c r="AH145" i="6"/>
  <c r="J145" i="6"/>
  <c r="BR142" i="6"/>
  <c r="BM161" i="6"/>
  <c r="AS56" i="6"/>
  <c r="E145" i="6"/>
  <c r="BE53" i="6"/>
  <c r="U53" i="6"/>
  <c r="P53" i="6"/>
  <c r="CB145" i="6"/>
  <c r="BH40" i="6"/>
  <c r="T161" i="6"/>
  <c r="BP142" i="6"/>
  <c r="AN158" i="6"/>
  <c r="CM21" i="6"/>
  <c r="CH39" i="6"/>
  <c r="BD39" i="6"/>
  <c r="BD41" i="6" s="1"/>
  <c r="BS144" i="6"/>
  <c r="BA160" i="6"/>
  <c r="BA162" i="6" s="1"/>
  <c r="BU142" i="6"/>
  <c r="BE142" i="6"/>
  <c r="AT53" i="6"/>
  <c r="BS39" i="6"/>
  <c r="BP39" i="6"/>
  <c r="AK40" i="6"/>
  <c r="BR160" i="6"/>
  <c r="BE160" i="6"/>
  <c r="E158" i="6"/>
  <c r="AH56" i="6"/>
  <c r="BV158" i="6"/>
  <c r="AN21" i="6"/>
  <c r="T56" i="6"/>
  <c r="AK39" i="6"/>
  <c r="AF37" i="6"/>
  <c r="AD39" i="6"/>
  <c r="AD41" i="6" s="1"/>
  <c r="P39" i="6"/>
  <c r="CB39" i="6"/>
  <c r="CB41" i="6" s="1"/>
  <c r="CK40" i="6"/>
  <c r="AL21" i="6"/>
  <c r="I56" i="6"/>
  <c r="BS56" i="6"/>
  <c r="AY56" i="6"/>
  <c r="AI56" i="6"/>
  <c r="W145" i="6"/>
  <c r="G161" i="6"/>
  <c r="BN39" i="6"/>
  <c r="BN41" i="6" s="1"/>
  <c r="AB160" i="6"/>
  <c r="BD144" i="6"/>
  <c r="CK144" i="6"/>
  <c r="CE142" i="6"/>
  <c r="AE37" i="6"/>
  <c r="S37" i="6"/>
  <c r="N37" i="6"/>
  <c r="F158" i="6"/>
  <c r="BM142" i="6"/>
  <c r="BF56" i="6"/>
  <c r="AX161" i="6"/>
  <c r="BI56" i="6"/>
  <c r="AS145" i="6"/>
  <c r="U142" i="6"/>
  <c r="AV142" i="6"/>
  <c r="CB161" i="6"/>
  <c r="BH161" i="6"/>
  <c r="L145" i="6"/>
  <c r="T21" i="6"/>
  <c r="BP53" i="6"/>
  <c r="BL160" i="6"/>
  <c r="BL162" i="6" s="1"/>
  <c r="Y37" i="6"/>
  <c r="AF142" i="6"/>
  <c r="BB56" i="6"/>
  <c r="BX56" i="6"/>
  <c r="AY55" i="6"/>
  <c r="BI39" i="6"/>
  <c r="BI41" i="6" s="1"/>
  <c r="BI96" i="6" s="1"/>
  <c r="CG55" i="6"/>
  <c r="BI144" i="6"/>
  <c r="BI146" i="6" s="1"/>
  <c r="AF158" i="6"/>
  <c r="AX56" i="6"/>
  <c r="AW55" i="6"/>
  <c r="CO53" i="6"/>
  <c r="W40" i="6"/>
  <c r="O39" i="6"/>
  <c r="AO39" i="6"/>
  <c r="X39" i="6"/>
  <c r="X41" i="6" s="1"/>
  <c r="CJ39" i="6"/>
  <c r="AY40" i="6"/>
  <c r="AF21" i="6"/>
  <c r="BM21" i="6"/>
  <c r="BS37" i="6"/>
  <c r="AI161" i="6"/>
  <c r="G145" i="6"/>
  <c r="CH144" i="6"/>
  <c r="CN160" i="6"/>
  <c r="CN144" i="6"/>
  <c r="AP160" i="6"/>
  <c r="CE158" i="6"/>
  <c r="CK37" i="6"/>
  <c r="BP21" i="6"/>
  <c r="K39" i="6"/>
  <c r="AS159" i="6"/>
  <c r="AS143" i="6"/>
  <c r="AS54" i="6"/>
  <c r="AS21" i="6"/>
  <c r="R161" i="6"/>
  <c r="R145" i="6"/>
  <c r="R21" i="6"/>
  <c r="R40" i="6"/>
  <c r="R56" i="6"/>
  <c r="CC143" i="6"/>
  <c r="CC38" i="6"/>
  <c r="CC21" i="6"/>
  <c r="CC54" i="6"/>
  <c r="AC21" i="6"/>
  <c r="BJ159" i="6"/>
  <c r="BJ21" i="6"/>
  <c r="BJ54" i="6"/>
  <c r="V54" i="6"/>
  <c r="V38" i="6"/>
  <c r="V21" i="6"/>
  <c r="V159" i="6"/>
  <c r="AC56" i="6"/>
  <c r="AC145" i="6"/>
  <c r="CN145" i="6"/>
  <c r="CN161" i="6"/>
  <c r="CN56" i="6"/>
  <c r="CJ54" i="6"/>
  <c r="CJ159" i="6"/>
  <c r="CJ143" i="6"/>
  <c r="CJ38" i="6"/>
  <c r="N159" i="6"/>
  <c r="N143" i="6"/>
  <c r="CO161" i="6"/>
  <c r="CO145" i="6"/>
  <c r="CO40" i="6"/>
  <c r="CO56" i="6"/>
  <c r="CP56" i="6"/>
  <c r="CP161" i="6"/>
  <c r="CP145" i="6"/>
  <c r="CP40" i="6"/>
  <c r="W143" i="6"/>
  <c r="W21" i="6"/>
  <c r="W54" i="6"/>
  <c r="W159" i="6"/>
  <c r="W38" i="6"/>
  <c r="CI143" i="6"/>
  <c r="CI38" i="6"/>
  <c r="BC56" i="6"/>
  <c r="BC40" i="6"/>
  <c r="BC145" i="6"/>
  <c r="BE161" i="6"/>
  <c r="BE145" i="6"/>
  <c r="BE56" i="6"/>
  <c r="BE21" i="6"/>
  <c r="BE40" i="6"/>
  <c r="CN40" i="6"/>
  <c r="Z40" i="6"/>
  <c r="Z56" i="6"/>
  <c r="Z145" i="6"/>
  <c r="CI54" i="6"/>
  <c r="BJ38" i="6"/>
  <c r="BC21" i="6"/>
  <c r="CO21" i="6"/>
  <c r="N21" i="6"/>
  <c r="AH159" i="6"/>
  <c r="AH38" i="6"/>
  <c r="AH143" i="6"/>
  <c r="AH54" i="6"/>
  <c r="BO158" i="6"/>
  <c r="BO21" i="6"/>
  <c r="BO142" i="6"/>
  <c r="BO37" i="6"/>
  <c r="AX259" i="6"/>
  <c r="AQ259" i="6"/>
  <c r="Y39" i="6"/>
  <c r="AC40" i="6"/>
  <c r="N54" i="6"/>
  <c r="CC159" i="6"/>
  <c r="BC161" i="6"/>
  <c r="Y144" i="6"/>
  <c r="AI259" i="6"/>
  <c r="CP21" i="6"/>
  <c r="S21" i="6"/>
  <c r="S161" i="6"/>
  <c r="S145" i="6"/>
  <c r="S56" i="6"/>
  <c r="S40" i="6"/>
  <c r="AC39" i="6"/>
  <c r="AS38" i="6"/>
  <c r="CN21" i="6"/>
  <c r="V143" i="6"/>
  <c r="AP144" i="6"/>
  <c r="Z161" i="6"/>
  <c r="Z21" i="6"/>
  <c r="BH259" i="6"/>
  <c r="M161" i="6"/>
  <c r="M40" i="6"/>
  <c r="M145" i="6"/>
  <c r="BY56" i="6"/>
  <c r="BY40" i="6"/>
  <c r="BZ161" i="6"/>
  <c r="BZ145" i="6"/>
  <c r="G143" i="6"/>
  <c r="G159" i="6"/>
  <c r="BS143" i="6"/>
  <c r="BS21" i="6"/>
  <c r="BS38" i="6"/>
  <c r="AM161" i="6"/>
  <c r="AM56" i="6"/>
  <c r="AO21" i="6"/>
  <c r="AO40" i="6"/>
  <c r="BZ54" i="6"/>
  <c r="M55" i="6"/>
  <c r="M57" i="6" s="1"/>
  <c r="D55" i="6"/>
  <c r="S55" i="6"/>
  <c r="AQ39" i="6"/>
  <c r="AQ41" i="6" s="1"/>
  <c r="U38" i="6"/>
  <c r="S39" i="6"/>
  <c r="BJ39" i="6"/>
  <c r="H39" i="6"/>
  <c r="H41" i="6" s="1"/>
  <c r="AN39" i="6"/>
  <c r="BT39" i="6"/>
  <c r="BX40" i="6"/>
  <c r="BY21" i="6"/>
  <c r="BS159" i="6"/>
  <c r="E159" i="6"/>
  <c r="AS55" i="6"/>
  <c r="BK39" i="6"/>
  <c r="BW39" i="6"/>
  <c r="BW41" i="6" s="1"/>
  <c r="W144" i="6"/>
  <c r="CB160" i="6"/>
  <c r="AM160" i="6"/>
  <c r="AM162" i="6" s="1"/>
  <c r="CM144" i="6"/>
  <c r="CM146" i="6" s="1"/>
  <c r="AF144" i="6"/>
  <c r="H160" i="6"/>
  <c r="H162" i="6" s="1"/>
  <c r="CP160" i="6"/>
  <c r="BM144" i="6"/>
  <c r="AU160" i="6"/>
  <c r="AU162" i="6" s="1"/>
  <c r="BY161" i="6"/>
  <c r="BM145" i="6"/>
  <c r="D145" i="6"/>
  <c r="D21" i="6"/>
  <c r="BW142" i="6"/>
  <c r="BW158" i="6"/>
  <c r="BW53" i="6"/>
  <c r="K37" i="6"/>
  <c r="K142" i="6"/>
  <c r="K158" i="6"/>
  <c r="BF259" i="6"/>
  <c r="AI21" i="6"/>
  <c r="CL38" i="6"/>
  <c r="CL159" i="6"/>
  <c r="P161" i="6"/>
  <c r="P145" i="6"/>
  <c r="X21" i="6"/>
  <c r="X54" i="6"/>
  <c r="X159" i="6"/>
  <c r="U161" i="6"/>
  <c r="U56" i="6"/>
  <c r="O21" i="6"/>
  <c r="O159" i="6"/>
  <c r="AU145" i="6"/>
  <c r="AU56" i="6"/>
  <c r="BG53" i="6"/>
  <c r="BG21" i="6"/>
  <c r="AJ159" i="6"/>
  <c r="AJ143" i="6"/>
  <c r="BT21" i="6"/>
  <c r="BT38" i="6"/>
  <c r="CG159" i="6"/>
  <c r="CG143" i="6"/>
  <c r="AP161" i="6"/>
  <c r="AP145" i="6"/>
  <c r="AP56" i="6"/>
  <c r="Y159" i="6"/>
  <c r="Y143" i="6"/>
  <c r="AK259" i="6"/>
  <c r="BO54" i="6"/>
  <c r="BO159" i="6"/>
  <c r="BO38" i="6"/>
  <c r="AK145" i="6"/>
  <c r="AK161" i="6"/>
  <c r="AE54" i="6"/>
  <c r="AE143" i="6"/>
  <c r="AE21" i="6"/>
  <c r="AE159" i="6"/>
  <c r="AE39" i="6"/>
  <c r="CL39" i="6"/>
  <c r="AM39" i="6"/>
  <c r="AM41" i="6" s="1"/>
  <c r="AM89" i="6" s="1"/>
  <c r="CC160" i="6"/>
  <c r="AW160" i="6"/>
  <c r="AW162" i="6" s="1"/>
  <c r="Q160" i="6"/>
  <c r="Q162" i="6" s="1"/>
  <c r="BP160" i="6"/>
  <c r="BP162" i="6" s="1"/>
  <c r="Z160" i="6"/>
  <c r="CC144" i="6"/>
  <c r="AW144" i="6"/>
  <c r="AW146" i="6" s="1"/>
  <c r="Q144" i="6"/>
  <c r="BT160" i="6"/>
  <c r="AD160" i="6"/>
  <c r="AD162" i="6" s="1"/>
  <c r="CB144" i="6"/>
  <c r="CB146" i="6" s="1"/>
  <c r="AV144" i="6"/>
  <c r="P144" i="6"/>
  <c r="AQ160" i="6"/>
  <c r="AQ162" i="6" s="1"/>
  <c r="BG144" i="6"/>
  <c r="BG146" i="6" s="1"/>
  <c r="CD160" i="6"/>
  <c r="CD162" i="6" s="1"/>
  <c r="CL144" i="6"/>
  <c r="CL146" i="6" s="1"/>
  <c r="Z144" i="6"/>
  <c r="AL160" i="6"/>
  <c r="AL162" i="6" s="1"/>
  <c r="BC144" i="6"/>
  <c r="BX160" i="6"/>
  <c r="BB144" i="6"/>
  <c r="AL39" i="6"/>
  <c r="Z39" i="6"/>
  <c r="CP144" i="6"/>
  <c r="AW39" i="6"/>
  <c r="AW41" i="6" s="1"/>
  <c r="BG39" i="6"/>
  <c r="BY160" i="6"/>
  <c r="AS160" i="6"/>
  <c r="M160" i="6"/>
  <c r="BK160" i="6"/>
  <c r="T160" i="6"/>
  <c r="BY144" i="6"/>
  <c r="AS144" i="6"/>
  <c r="M144" i="6"/>
  <c r="BO160" i="6"/>
  <c r="X160" i="6"/>
  <c r="BX144" i="6"/>
  <c r="AR144" i="6"/>
  <c r="L144" i="6"/>
  <c r="AF160" i="6"/>
  <c r="AY144" i="6"/>
  <c r="BS160" i="6"/>
  <c r="CD144" i="6"/>
  <c r="CD146" i="6" s="1"/>
  <c r="R144" i="6"/>
  <c r="AA160" i="6"/>
  <c r="AU144" i="6"/>
  <c r="BN160" i="6"/>
  <c r="BN162" i="6" s="1"/>
  <c r="V144" i="6"/>
  <c r="AA39" i="6"/>
  <c r="CM39" i="6"/>
  <c r="BQ39" i="6"/>
  <c r="BY39" i="6"/>
  <c r="BU160" i="6"/>
  <c r="AO160" i="6"/>
  <c r="I160" i="6"/>
  <c r="BF160" i="6"/>
  <c r="O160" i="6"/>
  <c r="BU144" i="6"/>
  <c r="AO144" i="6"/>
  <c r="I144" i="6"/>
  <c r="I146" i="6" s="1"/>
  <c r="BJ160" i="6"/>
  <c r="S160" i="6"/>
  <c r="BT144" i="6"/>
  <c r="BT146" i="6" s="1"/>
  <c r="AN144" i="6"/>
  <c r="AN146" i="6" s="1"/>
  <c r="H144" i="6"/>
  <c r="H146" i="6" s="1"/>
  <c r="V160" i="6"/>
  <c r="AQ144" i="6"/>
  <c r="AQ146" i="6" s="1"/>
  <c r="BH160" i="6"/>
  <c r="BV144" i="6"/>
  <c r="BV146" i="6" s="1"/>
  <c r="J144" i="6"/>
  <c r="P160" i="6"/>
  <c r="AM144" i="6"/>
  <c r="AM146" i="6" s="1"/>
  <c r="BC160" i="6"/>
  <c r="R39" i="6"/>
  <c r="CD39" i="6"/>
  <c r="CD41" i="6" s="1"/>
  <c r="CD75" i="6" s="1"/>
  <c r="F39" i="6"/>
  <c r="AD144" i="6"/>
  <c r="AD146" i="6" s="1"/>
  <c r="CC39" i="6"/>
  <c r="CI39" i="6"/>
  <c r="BQ160" i="6"/>
  <c r="AK160" i="6"/>
  <c r="E160" i="6"/>
  <c r="AZ160" i="6"/>
  <c r="J160" i="6"/>
  <c r="J162" i="6" s="1"/>
  <c r="BQ144" i="6"/>
  <c r="AK144" i="6"/>
  <c r="E144" i="6"/>
  <c r="BD160" i="6"/>
  <c r="N160" i="6"/>
  <c r="N162" i="6" s="1"/>
  <c r="BP144" i="6"/>
  <c r="AJ144" i="6"/>
  <c r="D144" i="6"/>
  <c r="K160" i="6"/>
  <c r="AI144" i="6"/>
  <c r="AI146" i="6" s="1"/>
  <c r="AX160" i="6"/>
  <c r="BN144" i="6"/>
  <c r="BN146" i="6" s="1"/>
  <c r="CM160" i="6"/>
  <c r="CM162" i="6" s="1"/>
  <c r="F160" i="6"/>
  <c r="AE144" i="6"/>
  <c r="AR160" i="6"/>
  <c r="CG39" i="6"/>
  <c r="CG41" i="6" s="1"/>
  <c r="CG96" i="6" s="1"/>
  <c r="J39" i="6"/>
  <c r="BV39" i="6"/>
  <c r="BV41" i="6" s="1"/>
  <c r="BV82" i="6" s="1"/>
  <c r="BR144" i="6"/>
  <c r="BK21" i="6"/>
  <c r="BK161" i="6"/>
  <c r="CK55" i="6"/>
  <c r="CK57" i="6" s="1"/>
  <c r="CK90" i="6" s="1"/>
  <c r="F55" i="6"/>
  <c r="BO55" i="6"/>
  <c r="CA39" i="6"/>
  <c r="CA41" i="6" s="1"/>
  <c r="V39" i="6"/>
  <c r="E38" i="6"/>
  <c r="AI39" i="6"/>
  <c r="AI41" i="6" s="1"/>
  <c r="BZ39" i="6"/>
  <c r="T39" i="6"/>
  <c r="T41" i="6" s="1"/>
  <c r="AZ39" i="6"/>
  <c r="CF39" i="6"/>
  <c r="CF41" i="6" s="1"/>
  <c r="CF75" i="6" s="1"/>
  <c r="BZ40" i="6"/>
  <c r="U54" i="6"/>
  <c r="CG54" i="6"/>
  <c r="U143" i="6"/>
  <c r="E55" i="6"/>
  <c r="W39" i="6"/>
  <c r="AL144" i="6"/>
  <c r="AT144" i="6"/>
  <c r="W160" i="6"/>
  <c r="CA144" i="6"/>
  <c r="AX144" i="6"/>
  <c r="AX146" i="6" s="1"/>
  <c r="S144" i="6"/>
  <c r="BW160" i="6"/>
  <c r="BH144" i="6"/>
  <c r="AT160" i="6"/>
  <c r="AC144" i="6"/>
  <c r="CO144" i="6"/>
  <c r="CF160" i="6"/>
  <c r="BI160" i="6"/>
  <c r="BR39" i="6"/>
  <c r="AO56" i="6"/>
  <c r="BX145" i="6"/>
  <c r="AE259" i="6"/>
  <c r="AY158" i="6"/>
  <c r="AY142" i="6"/>
  <c r="AY37" i="6"/>
  <c r="AY21" i="6"/>
  <c r="BM259" i="6"/>
  <c r="CN259" i="6"/>
  <c r="AB259" i="6"/>
  <c r="G21" i="6"/>
  <c r="BY54" i="6"/>
  <c r="BY159" i="6"/>
  <c r="BY143" i="6"/>
  <c r="AP259" i="6"/>
  <c r="E39" i="6"/>
  <c r="BK56" i="6"/>
  <c r="Q39" i="6"/>
  <c r="Q41" i="6" s="1"/>
  <c r="BZ144" i="6"/>
  <c r="AH160" i="6"/>
  <c r="CI144" i="6"/>
  <c r="BF144" i="6"/>
  <c r="BF146" i="6" s="1"/>
  <c r="AA144" i="6"/>
  <c r="AA146" i="6" s="1"/>
  <c r="CH160" i="6"/>
  <c r="CH162" i="6" s="1"/>
  <c r="BL144" i="6"/>
  <c r="BL146" i="6" s="1"/>
  <c r="AY160" i="6"/>
  <c r="AG144" i="6"/>
  <c r="D160" i="6"/>
  <c r="D162" i="6" s="1"/>
  <c r="CL160" i="6"/>
  <c r="BM160" i="6"/>
  <c r="AI159" i="6"/>
  <c r="N56" i="6"/>
  <c r="BA39" i="6"/>
  <c r="AO145" i="6"/>
  <c r="BS54" i="6"/>
  <c r="D56" i="6"/>
  <c r="BQ55" i="6"/>
  <c r="BQ57" i="6" s="1"/>
  <c r="BM39" i="6"/>
  <c r="G39" i="6"/>
  <c r="G41" i="6" s="1"/>
  <c r="AT39" i="6"/>
  <c r="AT41" i="6" s="1"/>
  <c r="CK39" i="6"/>
  <c r="AB39" i="6"/>
  <c r="BH39" i="6"/>
  <c r="CN39" i="6"/>
  <c r="AP40" i="6"/>
  <c r="AE38" i="6"/>
  <c r="AG38" i="6"/>
  <c r="BO143" i="6"/>
  <c r="BZ21" i="6"/>
  <c r="AG21" i="6"/>
  <c r="BK145" i="6"/>
  <c r="AH39" i="6"/>
  <c r="AU39" i="6"/>
  <c r="CI160" i="6"/>
  <c r="AV160" i="6"/>
  <c r="AV162" i="6" s="1"/>
  <c r="G160" i="6"/>
  <c r="BO144" i="6"/>
  <c r="T144" i="6"/>
  <c r="CF144" i="6"/>
  <c r="BZ160" i="6"/>
  <c r="BA144" i="6"/>
  <c r="AE160" i="6"/>
  <c r="U160" i="6"/>
  <c r="U162" i="6" s="1"/>
  <c r="CG160" i="6"/>
  <c r="AI54" i="6"/>
  <c r="K21" i="6"/>
  <c r="U39" i="6"/>
  <c r="N145" i="6"/>
  <c r="AG39" i="6"/>
  <c r="AO161" i="6"/>
  <c r="AJ21" i="6"/>
  <c r="BX21" i="6"/>
  <c r="CG21" i="6"/>
  <c r="BZ56" i="6"/>
  <c r="AX55" i="6"/>
  <c r="CO55" i="6"/>
  <c r="AJ55" i="6"/>
  <c r="AZ55" i="6"/>
  <c r="AZ57" i="6" s="1"/>
  <c r="BR55" i="6"/>
  <c r="BF39" i="6"/>
  <c r="I39" i="6"/>
  <c r="I41" i="6" s="1"/>
  <c r="AY39" i="6"/>
  <c r="CP39" i="6"/>
  <c r="AF39" i="6"/>
  <c r="BL39" i="6"/>
  <c r="AS39" i="6"/>
  <c r="BC39" i="6"/>
  <c r="G144" i="6"/>
  <c r="BG160" i="6"/>
  <c r="R160" i="6"/>
  <c r="BW144" i="6"/>
  <c r="X144" i="6"/>
  <c r="X146" i="6" s="1"/>
  <c r="CJ144" i="6"/>
  <c r="CE160" i="6"/>
  <c r="CE162" i="6" s="1"/>
  <c r="BE144" i="6"/>
  <c r="AJ160" i="6"/>
  <c r="Y160" i="6"/>
  <c r="CK160" i="6"/>
  <c r="M39" i="6"/>
  <c r="AK56" i="6"/>
  <c r="BB197" i="6"/>
  <c r="AD218" i="6"/>
  <c r="AX216" i="6"/>
  <c r="I216" i="6"/>
  <c r="G217" i="6"/>
  <c r="AA196" i="6"/>
  <c r="BU217" i="6"/>
  <c r="AN196" i="6"/>
  <c r="BC218" i="6"/>
  <c r="F217" i="6"/>
  <c r="AE196" i="6"/>
  <c r="AO216" i="6"/>
  <c r="BK217" i="6"/>
  <c r="CI218" i="6"/>
  <c r="O217" i="6"/>
  <c r="AM218" i="6"/>
  <c r="BN216" i="6"/>
  <c r="CK217" i="6"/>
  <c r="R216" i="6"/>
  <c r="AO217" i="6"/>
  <c r="L216" i="6"/>
  <c r="CM217" i="6"/>
  <c r="BH196" i="6"/>
  <c r="J196" i="6"/>
  <c r="BQ216" i="6"/>
  <c r="CO217" i="6"/>
  <c r="U216" i="6"/>
  <c r="AS217" i="6"/>
  <c r="BO218" i="6"/>
  <c r="CP216" i="6"/>
  <c r="Z218" i="6"/>
  <c r="AT216" i="6"/>
  <c r="BY217" i="6"/>
  <c r="BB216" i="6"/>
  <c r="AE216" i="6"/>
  <c r="AE217" i="6"/>
  <c r="BV216" i="6"/>
  <c r="T218" i="6"/>
  <c r="F196" i="6"/>
  <c r="M216" i="6"/>
  <c r="AI217" i="6"/>
  <c r="BF218" i="6"/>
  <c r="BZ216" i="6"/>
  <c r="J218" i="6"/>
  <c r="AK216" i="6"/>
  <c r="BI217" i="6"/>
  <c r="CE218" i="6"/>
  <c r="M217" i="6"/>
  <c r="BK218" i="6"/>
  <c r="AW217" i="6"/>
  <c r="CH218" i="6"/>
  <c r="AQ218" i="6"/>
  <c r="D217" i="6"/>
  <c r="AJ217" i="6"/>
  <c r="BK216" i="6"/>
  <c r="I198" i="6"/>
  <c r="E197" i="6"/>
  <c r="I218" i="6"/>
  <c r="AT196" i="6"/>
  <c r="AF197" i="6"/>
  <c r="CN198" i="6"/>
  <c r="S197" i="6"/>
  <c r="Z198" i="6"/>
  <c r="BM196" i="6"/>
  <c r="BU218" i="6"/>
  <c r="BG196" i="6"/>
  <c r="CC197" i="6"/>
  <c r="AL196" i="6"/>
  <c r="P196" i="6"/>
  <c r="AQ196" i="6"/>
  <c r="T196" i="6"/>
  <c r="BP196" i="6"/>
  <c r="AD196" i="6"/>
  <c r="Z216" i="6"/>
  <c r="BD216" i="6"/>
  <c r="CF216" i="6"/>
  <c r="U217" i="6"/>
  <c r="AX217" i="6"/>
  <c r="BZ217" i="6"/>
  <c r="O218" i="6"/>
  <c r="AR218" i="6"/>
  <c r="BT218" i="6"/>
  <c r="H216" i="6"/>
  <c r="AJ216" i="6"/>
  <c r="BL216" i="6"/>
  <c r="CO216" i="6"/>
  <c r="AD217" i="6"/>
  <c r="BF217" i="6"/>
  <c r="CI217" i="6"/>
  <c r="X218" i="6"/>
  <c r="AZ218" i="6"/>
  <c r="CD218" i="6"/>
  <c r="X216" i="6"/>
  <c r="AZ216" i="6"/>
  <c r="CB216" i="6"/>
  <c r="R217" i="6"/>
  <c r="AT217" i="6"/>
  <c r="BV217" i="6"/>
  <c r="L218" i="6"/>
  <c r="AN218" i="6"/>
  <c r="BP218" i="6"/>
  <c r="D216" i="6"/>
  <c r="AF216" i="6"/>
  <c r="BI216" i="6"/>
  <c r="CK216" i="6"/>
  <c r="Z217" i="6"/>
  <c r="BC217" i="6"/>
  <c r="G218" i="6"/>
  <c r="AP218" i="6"/>
  <c r="BZ218" i="6"/>
  <c r="AG216" i="6"/>
  <c r="BX216" i="6"/>
  <c r="AA217" i="6"/>
  <c r="BR217" i="6"/>
  <c r="V218" i="6"/>
  <c r="BL218" i="6"/>
  <c r="O216" i="6"/>
  <c r="AU216" i="6"/>
  <c r="CA216" i="6"/>
  <c r="T217" i="6"/>
  <c r="BP217" i="6"/>
  <c r="AO218" i="6"/>
  <c r="AM196" i="6"/>
  <c r="BZ196" i="6"/>
  <c r="BE197" i="6"/>
  <c r="BH198" i="6"/>
  <c r="CM196" i="6"/>
  <c r="BW197" i="6"/>
  <c r="CE198" i="6"/>
  <c r="AM197" i="6"/>
  <c r="AI198" i="6"/>
  <c r="AG196" i="6"/>
  <c r="F197" i="6"/>
  <c r="CE197" i="6"/>
  <c r="CH197" i="6"/>
  <c r="AF196" i="6"/>
  <c r="K196" i="6"/>
  <c r="AJ196" i="6"/>
  <c r="O196" i="6"/>
  <c r="AZ196" i="6"/>
  <c r="E216" i="6"/>
  <c r="AH216" i="6"/>
  <c r="BJ216" i="6"/>
  <c r="CL216" i="6"/>
  <c r="AC217" i="6"/>
  <c r="BE217" i="6"/>
  <c r="CG217" i="6"/>
  <c r="W218" i="6"/>
  <c r="AY218" i="6"/>
  <c r="CA218" i="6"/>
  <c r="N216" i="6"/>
  <c r="AP216" i="6"/>
  <c r="BT216" i="6"/>
  <c r="I217" i="6"/>
  <c r="AK217" i="6"/>
  <c r="BN217" i="6"/>
  <c r="CP217" i="6"/>
  <c r="AE218" i="6"/>
  <c r="BH218" i="6"/>
  <c r="CJ218" i="6"/>
  <c r="AD216" i="6"/>
  <c r="BF216" i="6"/>
  <c r="CJ216" i="6"/>
  <c r="Y217" i="6"/>
  <c r="BA217" i="6"/>
  <c r="CD217" i="6"/>
  <c r="S218" i="6"/>
  <c r="AU218" i="6"/>
  <c r="BX218" i="6"/>
  <c r="J216" i="6"/>
  <c r="AN216" i="6"/>
  <c r="BP216" i="6"/>
  <c r="E217" i="6"/>
  <c r="AH217" i="6"/>
  <c r="BQ217" i="6"/>
  <c r="N218" i="6"/>
  <c r="AX218" i="6"/>
  <c r="F216" i="6"/>
  <c r="AW216" i="6"/>
  <c r="CN216" i="6"/>
  <c r="AQ217" i="6"/>
  <c r="CH217" i="6"/>
  <c r="AL218" i="6"/>
  <c r="CB218" i="6"/>
  <c r="AA216" i="6"/>
  <c r="BG216" i="6"/>
  <c r="CM216" i="6"/>
  <c r="AF217" i="6"/>
  <c r="CF217" i="6"/>
  <c r="BE218" i="6"/>
  <c r="R196" i="6"/>
  <c r="CP196" i="6"/>
  <c r="CA197" i="6"/>
  <c r="CJ198" i="6"/>
  <c r="P197" i="6"/>
  <c r="E198" i="6"/>
  <c r="CB196" i="6"/>
  <c r="BH197" i="6"/>
  <c r="BK198" i="6"/>
  <c r="AW196" i="6"/>
  <c r="V197" i="6"/>
  <c r="X198" i="6"/>
  <c r="AA198" i="6"/>
  <c r="AN197" i="6"/>
  <c r="CA198" i="6"/>
  <c r="AR196" i="6"/>
  <c r="V196" i="6"/>
  <c r="BD196" i="6"/>
  <c r="Z196" i="6"/>
  <c r="D196" i="6"/>
  <c r="AI196" i="6"/>
  <c r="T216" i="6"/>
  <c r="AV216" i="6"/>
  <c r="BY216" i="6"/>
  <c r="N217" i="6"/>
  <c r="AP217" i="6"/>
  <c r="BS217" i="6"/>
  <c r="H218" i="6"/>
  <c r="AJ218" i="6"/>
  <c r="BN218" i="6"/>
  <c r="CP218" i="6"/>
  <c r="AC216" i="6"/>
  <c r="BE216" i="6"/>
  <c r="CG216" i="6"/>
  <c r="W217" i="6"/>
  <c r="AY217" i="6"/>
  <c r="CA217" i="6"/>
  <c r="R218" i="6"/>
  <c r="AT218" i="6"/>
  <c r="BV218" i="6"/>
  <c r="P216" i="6"/>
  <c r="AS216" i="6"/>
  <c r="BU216" i="6"/>
  <c r="J217" i="6"/>
  <c r="AM217" i="6"/>
  <c r="BO217" i="6"/>
  <c r="D218" i="6"/>
  <c r="AH218" i="6"/>
  <c r="BJ218" i="6"/>
  <c r="CL218" i="6"/>
  <c r="Y216" i="6"/>
  <c r="BA216" i="6"/>
  <c r="CD216" i="6"/>
  <c r="S217" i="6"/>
  <c r="AU217" i="6"/>
  <c r="CE217" i="6"/>
  <c r="AI218" i="6"/>
  <c r="BS218" i="6"/>
  <c r="AB216" i="6"/>
  <c r="BR216" i="6"/>
  <c r="V217" i="6"/>
  <c r="BM217" i="6"/>
  <c r="P218" i="6"/>
  <c r="BG218" i="6"/>
  <c r="K216" i="6"/>
  <c r="AQ216" i="6"/>
  <c r="BW216" i="6"/>
  <c r="P217" i="6"/>
  <c r="AZ217" i="6"/>
  <c r="Y218" i="6"/>
  <c r="CK218" i="6"/>
  <c r="BJ196" i="6"/>
  <c r="AJ197" i="6"/>
  <c r="AE198" i="6"/>
  <c r="BW196" i="6"/>
  <c r="BA197" i="6"/>
  <c r="BC198" i="6"/>
  <c r="U197" i="6"/>
  <c r="L198" i="6"/>
  <c r="Q196" i="6"/>
  <c r="CC196" i="6"/>
  <c r="BI197" i="6"/>
  <c r="AW198" i="6"/>
  <c r="CB198" i="6"/>
  <c r="G198" i="6"/>
  <c r="BN197" i="6"/>
  <c r="AH197" i="6"/>
  <c r="AR198" i="6"/>
  <c r="CJ197" i="6"/>
  <c r="BO197" i="6"/>
  <c r="AS197" i="6"/>
  <c r="Z197" i="6"/>
  <c r="J197" i="6"/>
  <c r="CG196" i="6"/>
  <c r="BQ196" i="6"/>
  <c r="BA196" i="6"/>
  <c r="AK196" i="6"/>
  <c r="U196" i="6"/>
  <c r="E196" i="6"/>
  <c r="BS198" i="6"/>
  <c r="AP198" i="6"/>
  <c r="Q198" i="6"/>
  <c r="CI197" i="6"/>
  <c r="BM197" i="6"/>
  <c r="AR197" i="6"/>
  <c r="Y197" i="6"/>
  <c r="I197" i="6"/>
  <c r="CF196" i="6"/>
  <c r="CL198" i="6"/>
  <c r="BJ198" i="6"/>
  <c r="AH198" i="6"/>
  <c r="J198" i="6"/>
  <c r="CB197" i="6"/>
  <c r="BG197" i="6"/>
  <c r="AK197" i="6"/>
  <c r="T197" i="6"/>
  <c r="D197" i="6"/>
  <c r="CA196" i="6"/>
  <c r="BK196" i="6"/>
  <c r="AU196" i="6"/>
  <c r="BO198" i="6"/>
  <c r="AM198" i="6"/>
  <c r="N198" i="6"/>
  <c r="CF197" i="6"/>
  <c r="BK197" i="6"/>
  <c r="AO197" i="6"/>
  <c r="W197" i="6"/>
  <c r="G197" i="6"/>
  <c r="CD196" i="6"/>
  <c r="BN196" i="6"/>
  <c r="AX196" i="6"/>
  <c r="L196" i="6"/>
  <c r="AH196" i="6"/>
  <c r="CO218" i="6"/>
  <c r="BY218" i="6"/>
  <c r="BI218" i="6"/>
  <c r="AS218" i="6"/>
  <c r="AC218" i="6"/>
  <c r="M218" i="6"/>
  <c r="CJ217" i="6"/>
  <c r="BT217" i="6"/>
  <c r="BD217" i="6"/>
  <c r="AN217" i="6"/>
  <c r="X217" i="6"/>
  <c r="H217" i="6"/>
  <c r="CE216" i="6"/>
  <c r="BO216" i="6"/>
  <c r="AY216" i="6"/>
  <c r="AI216" i="6"/>
  <c r="S216" i="6"/>
  <c r="CM218" i="6"/>
  <c r="BR218" i="6"/>
  <c r="AV218" i="6"/>
  <c r="AA218" i="6"/>
  <c r="F218" i="6"/>
  <c r="BW217" i="6"/>
  <c r="BB217" i="6"/>
  <c r="AG217" i="6"/>
  <c r="K217" i="6"/>
  <c r="CC216" i="6"/>
  <c r="BH216" i="6"/>
  <c r="AL216" i="6"/>
  <c r="Q216" i="6"/>
  <c r="CF218" i="6"/>
  <c r="BD218" i="6"/>
  <c r="AB218" i="6"/>
  <c r="CL217" i="6"/>
  <c r="BJ217" i="6"/>
  <c r="CC198" i="6"/>
  <c r="W198" i="6"/>
  <c r="CD197" i="6"/>
  <c r="AX197" i="6"/>
  <c r="BT198" i="6"/>
  <c r="R198" i="6"/>
  <c r="BY197" i="6"/>
  <c r="BD197" i="6"/>
  <c r="AI197" i="6"/>
  <c r="R197" i="6"/>
  <c r="CO196" i="6"/>
  <c r="BY196" i="6"/>
  <c r="BI196" i="6"/>
  <c r="AS196" i="6"/>
  <c r="AC196" i="6"/>
  <c r="M196" i="6"/>
  <c r="CF198" i="6"/>
  <c r="BD198" i="6"/>
  <c r="AB198" i="6"/>
  <c r="F198" i="6"/>
  <c r="BX197" i="6"/>
  <c r="BC197" i="6"/>
  <c r="AG197" i="6"/>
  <c r="Q197" i="6"/>
  <c r="CN196" i="6"/>
  <c r="BX196" i="6"/>
  <c r="BX198" i="6"/>
  <c r="AU198" i="6"/>
  <c r="U198" i="6"/>
  <c r="CM197" i="6"/>
  <c r="BQ197" i="6"/>
  <c r="AV197" i="6"/>
  <c r="AB197" i="6"/>
  <c r="L197" i="6"/>
  <c r="CI196" i="6"/>
  <c r="BS196" i="6"/>
  <c r="BC196" i="6"/>
  <c r="CD198" i="6"/>
  <c r="AZ198" i="6"/>
  <c r="Y198" i="6"/>
  <c r="D198" i="6"/>
  <c r="BU197" i="6"/>
  <c r="AZ197" i="6"/>
  <c r="AE197" i="6"/>
  <c r="O197" i="6"/>
  <c r="CL196" i="6"/>
  <c r="BV196" i="6"/>
  <c r="BF196" i="6"/>
  <c r="AP196" i="6"/>
  <c r="W196" i="6"/>
  <c r="AV196" i="6"/>
  <c r="CG218" i="6"/>
  <c r="BQ218" i="6"/>
  <c r="BA218" i="6"/>
  <c r="AK218" i="6"/>
  <c r="U218" i="6"/>
  <c r="E218" i="6"/>
  <c r="CB217" i="6"/>
  <c r="BL217" i="6"/>
  <c r="AV217" i="6"/>
  <c r="AG198" i="6"/>
  <c r="K198" i="6"/>
  <c r="BR197" i="6"/>
  <c r="AL197" i="6"/>
  <c r="AY198" i="6"/>
  <c r="CO197" i="6"/>
  <c r="BT197" i="6"/>
  <c r="AY197" i="6"/>
  <c r="AD197" i="6"/>
  <c r="N197" i="6"/>
  <c r="CK196" i="6"/>
  <c r="BU196" i="6"/>
  <c r="BE196" i="6"/>
  <c r="AO196" i="6"/>
  <c r="Y196" i="6"/>
  <c r="I196" i="6"/>
  <c r="BZ198" i="6"/>
  <c r="AX198" i="6"/>
  <c r="V198" i="6"/>
  <c r="CN197" i="6"/>
  <c r="BS197" i="6"/>
  <c r="AW197" i="6"/>
  <c r="AC197" i="6"/>
  <c r="M197" i="6"/>
  <c r="CJ196" i="6"/>
  <c r="BT196" i="6"/>
  <c r="BP198" i="6"/>
  <c r="AN198" i="6"/>
  <c r="P198" i="6"/>
  <c r="CG197" i="6"/>
  <c r="BL197" i="6"/>
  <c r="AQ197" i="6"/>
  <c r="X197" i="6"/>
  <c r="H197" i="6"/>
  <c r="CE196" i="6"/>
  <c r="BO196" i="6"/>
  <c r="AY196" i="6"/>
  <c r="BV198" i="6"/>
  <c r="AT198" i="6"/>
  <c r="T198" i="6"/>
  <c r="CK197" i="6"/>
  <c r="BP197" i="6"/>
  <c r="AU197" i="6"/>
  <c r="AA197" i="6"/>
  <c r="K197" i="6"/>
  <c r="CH196" i="6"/>
  <c r="BR196" i="6"/>
  <c r="BB196" i="6"/>
  <c r="G196" i="6"/>
  <c r="AB196" i="6"/>
  <c r="BL196" i="6"/>
  <c r="CC218" i="6"/>
  <c r="BM218" i="6"/>
  <c r="AW218" i="6"/>
  <c r="AG218" i="6"/>
  <c r="Q218" i="6"/>
  <c r="CN217" i="6"/>
  <c r="BX217" i="6"/>
  <c r="BH217" i="6"/>
  <c r="AR217" i="6"/>
  <c r="AB217" i="6"/>
  <c r="L217" i="6"/>
  <c r="CI216" i="6"/>
  <c r="BS216" i="6"/>
  <c r="BC216" i="6"/>
  <c r="AM216" i="6"/>
  <c r="W216" i="6"/>
  <c r="G216" i="6"/>
  <c r="BW218" i="6"/>
  <c r="BB218" i="6"/>
  <c r="AF218" i="6"/>
  <c r="K218" i="6"/>
  <c r="CC217" i="6"/>
  <c r="BG217" i="6"/>
  <c r="AL217" i="6"/>
  <c r="Q217" i="6"/>
  <c r="CH216" i="6"/>
  <c r="BM216" i="6"/>
  <c r="AR216" i="6"/>
  <c r="V216" i="6"/>
  <c r="CN218" i="6"/>
  <c r="M198" i="6"/>
  <c r="AJ198" i="6"/>
  <c r="BN198" i="6"/>
  <c r="CP198" i="6"/>
  <c r="AT197" i="6"/>
  <c r="BJ197" i="6"/>
  <c r="BZ197" i="6"/>
  <c r="CP197" i="6"/>
  <c r="S198" i="6"/>
  <c r="BG198" i="6"/>
  <c r="BM198" i="6"/>
  <c r="H198" i="6"/>
  <c r="AD198" i="6"/>
  <c r="BF198" i="6"/>
  <c r="CI198" i="6"/>
  <c r="AP197" i="6"/>
  <c r="BF197" i="6"/>
  <c r="BV197" i="6"/>
  <c r="CL197" i="6"/>
  <c r="O198" i="6"/>
  <c r="AL198" i="6"/>
  <c r="CM208" i="6"/>
  <c r="CI208" i="6"/>
  <c r="CE208" i="6"/>
  <c r="CA208" i="6"/>
  <c r="BW208" i="6"/>
  <c r="BS208" i="6"/>
  <c r="BO208" i="6"/>
  <c r="BK208" i="6"/>
  <c r="BG208" i="6"/>
  <c r="BC208" i="6"/>
  <c r="AY208" i="6"/>
  <c r="AU208" i="6"/>
  <c r="AQ208" i="6"/>
  <c r="AM208" i="6"/>
  <c r="AI208" i="6"/>
  <c r="AE208" i="6"/>
  <c r="AA208" i="6"/>
  <c r="W208" i="6"/>
  <c r="S208" i="6"/>
  <c r="O208" i="6"/>
  <c r="K208" i="6"/>
  <c r="G208" i="6"/>
  <c r="CP207" i="6"/>
  <c r="CL207" i="6"/>
  <c r="CH207" i="6"/>
  <c r="CD207" i="6"/>
  <c r="BZ207" i="6"/>
  <c r="BV207" i="6"/>
  <c r="BR207" i="6"/>
  <c r="BN207" i="6"/>
  <c r="BJ207" i="6"/>
  <c r="BF207" i="6"/>
  <c r="BB207" i="6"/>
  <c r="AX207" i="6"/>
  <c r="AT207" i="6"/>
  <c r="AP207" i="6"/>
  <c r="AL207" i="6"/>
  <c r="AH207" i="6"/>
  <c r="AD207" i="6"/>
  <c r="Z207" i="6"/>
  <c r="V207" i="6"/>
  <c r="R207" i="6"/>
  <c r="N207" i="6"/>
  <c r="J207" i="6"/>
  <c r="F207" i="6"/>
  <c r="CO206" i="6"/>
  <c r="CK206" i="6"/>
  <c r="CG206" i="6"/>
  <c r="CC206" i="6"/>
  <c r="BY206" i="6"/>
  <c r="BU206" i="6"/>
  <c r="BQ206" i="6"/>
  <c r="BM206" i="6"/>
  <c r="BI206" i="6"/>
  <c r="BE206" i="6"/>
  <c r="BA206" i="6"/>
  <c r="AW206" i="6"/>
  <c r="AS206" i="6"/>
  <c r="AO206" i="6"/>
  <c r="AK206" i="6"/>
  <c r="AG206" i="6"/>
  <c r="AC206" i="6"/>
  <c r="Y206" i="6"/>
  <c r="U206" i="6"/>
  <c r="Q206" i="6"/>
  <c r="M206" i="6"/>
  <c r="I206" i="6"/>
  <c r="E206" i="6"/>
  <c r="CP208" i="6"/>
  <c r="CL208" i="6"/>
  <c r="CO208" i="6"/>
  <c r="CK208" i="6"/>
  <c r="CG208" i="6"/>
  <c r="CC208" i="6"/>
  <c r="BY208" i="6"/>
  <c r="BU208" i="6"/>
  <c r="BQ208" i="6"/>
  <c r="BM208" i="6"/>
  <c r="BI208" i="6"/>
  <c r="BE208" i="6"/>
  <c r="BA208" i="6"/>
  <c r="AW208" i="6"/>
  <c r="AS208" i="6"/>
  <c r="AO208" i="6"/>
  <c r="AK208" i="6"/>
  <c r="AG208" i="6"/>
  <c r="AC208" i="6"/>
  <c r="Y208" i="6"/>
  <c r="U208" i="6"/>
  <c r="Q208" i="6"/>
  <c r="M208" i="6"/>
  <c r="I208" i="6"/>
  <c r="E208" i="6"/>
  <c r="CN207" i="6"/>
  <c r="CJ207" i="6"/>
  <c r="CF207" i="6"/>
  <c r="CB207" i="6"/>
  <c r="BX207" i="6"/>
  <c r="BT207" i="6"/>
  <c r="BP207" i="6"/>
  <c r="BL207" i="6"/>
  <c r="BH207" i="6"/>
  <c r="BD207" i="6"/>
  <c r="AZ207" i="6"/>
  <c r="AV207" i="6"/>
  <c r="AR207" i="6"/>
  <c r="AN207" i="6"/>
  <c r="AJ207" i="6"/>
  <c r="AF207" i="6"/>
  <c r="AB207" i="6"/>
  <c r="X207" i="6"/>
  <c r="T207" i="6"/>
  <c r="P207" i="6"/>
  <c r="L207" i="6"/>
  <c r="H207" i="6"/>
  <c r="D207" i="6"/>
  <c r="CM206" i="6"/>
  <c r="CI206" i="6"/>
  <c r="CE206" i="6"/>
  <c r="CA206" i="6"/>
  <c r="BW206" i="6"/>
  <c r="BS206" i="6"/>
  <c r="BO206" i="6"/>
  <c r="BK206" i="6"/>
  <c r="BG206" i="6"/>
  <c r="BC206" i="6"/>
  <c r="AY206" i="6"/>
  <c r="AU206" i="6"/>
  <c r="AQ206" i="6"/>
  <c r="AM206" i="6"/>
  <c r="AI206" i="6"/>
  <c r="AE206" i="6"/>
  <c r="AA206" i="6"/>
  <c r="W206" i="6"/>
  <c r="S206" i="6"/>
  <c r="O206" i="6"/>
  <c r="K206" i="6"/>
  <c r="G206" i="6"/>
  <c r="CN208" i="6"/>
  <c r="CJ208" i="6"/>
  <c r="CF208" i="6"/>
  <c r="CB208" i="6"/>
  <c r="BX208" i="6"/>
  <c r="BT208" i="6"/>
  <c r="BP208" i="6"/>
  <c r="BL208" i="6"/>
  <c r="BH208" i="6"/>
  <c r="BD208" i="6"/>
  <c r="AZ208" i="6"/>
  <c r="AV208" i="6"/>
  <c r="AR208" i="6"/>
  <c r="AN208" i="6"/>
  <c r="AJ208" i="6"/>
  <c r="AF208" i="6"/>
  <c r="AB208" i="6"/>
  <c r="BV208" i="6"/>
  <c r="BF208" i="6"/>
  <c r="AP208" i="6"/>
  <c r="Z208" i="6"/>
  <c r="R208" i="6"/>
  <c r="J208" i="6"/>
  <c r="CO207" i="6"/>
  <c r="CG207" i="6"/>
  <c r="BY207" i="6"/>
  <c r="BQ207" i="6"/>
  <c r="BI207" i="6"/>
  <c r="BA207" i="6"/>
  <c r="AS207" i="6"/>
  <c r="AK207" i="6"/>
  <c r="AC207" i="6"/>
  <c r="U207" i="6"/>
  <c r="M207" i="6"/>
  <c r="E207" i="6"/>
  <c r="CJ206" i="6"/>
  <c r="CB206" i="6"/>
  <c r="BT206" i="6"/>
  <c r="BL206" i="6"/>
  <c r="BD206" i="6"/>
  <c r="AV206" i="6"/>
  <c r="AN206" i="6"/>
  <c r="AF206" i="6"/>
  <c r="X206" i="6"/>
  <c r="P206" i="6"/>
  <c r="H206" i="6"/>
  <c r="CH208" i="6"/>
  <c r="BR208" i="6"/>
  <c r="BB208" i="6"/>
  <c r="AL208" i="6"/>
  <c r="X208" i="6"/>
  <c r="P208" i="6"/>
  <c r="H208" i="6"/>
  <c r="CM207" i="6"/>
  <c r="CE207" i="6"/>
  <c r="BW207" i="6"/>
  <c r="BO207" i="6"/>
  <c r="BG207" i="6"/>
  <c r="AY207" i="6"/>
  <c r="AQ207" i="6"/>
  <c r="AA207" i="6"/>
  <c r="S207" i="6"/>
  <c r="K207" i="6"/>
  <c r="CP206" i="6"/>
  <c r="CH206" i="6"/>
  <c r="BZ206" i="6"/>
  <c r="BR206" i="6"/>
  <c r="BJ206" i="6"/>
  <c r="BB206" i="6"/>
  <c r="AT206" i="6"/>
  <c r="AL206" i="6"/>
  <c r="AD206" i="6"/>
  <c r="V206" i="6"/>
  <c r="F206" i="6"/>
  <c r="BN208" i="6"/>
  <c r="AH208" i="6"/>
  <c r="N208" i="6"/>
  <c r="CK207" i="6"/>
  <c r="BU207" i="6"/>
  <c r="BE207" i="6"/>
  <c r="AO207" i="6"/>
  <c r="Y207" i="6"/>
  <c r="I207" i="6"/>
  <c r="CF206" i="6"/>
  <c r="BP206" i="6"/>
  <c r="AZ206" i="6"/>
  <c r="AJ206" i="6"/>
  <c r="T206" i="6"/>
  <c r="D206" i="6"/>
  <c r="BZ208" i="6"/>
  <c r="BJ208" i="6"/>
  <c r="AT208" i="6"/>
  <c r="AD208" i="6"/>
  <c r="T208" i="6"/>
  <c r="L208" i="6"/>
  <c r="D208" i="6"/>
  <c r="CI207" i="6"/>
  <c r="CA207" i="6"/>
  <c r="BS207" i="6"/>
  <c r="BK207" i="6"/>
  <c r="BC207" i="6"/>
  <c r="AU207" i="6"/>
  <c r="AM207" i="6"/>
  <c r="AE207" i="6"/>
  <c r="W207" i="6"/>
  <c r="O207" i="6"/>
  <c r="G207" i="6"/>
  <c r="CL206" i="6"/>
  <c r="CD206" i="6"/>
  <c r="BV206" i="6"/>
  <c r="BN206" i="6"/>
  <c r="BF206" i="6"/>
  <c r="AX206" i="6"/>
  <c r="AP206" i="6"/>
  <c r="AH206" i="6"/>
  <c r="Z206" i="6"/>
  <c r="R206" i="6"/>
  <c r="J206" i="6"/>
  <c r="AI207" i="6"/>
  <c r="N206" i="6"/>
  <c r="CD208" i="6"/>
  <c r="AX208" i="6"/>
  <c r="V208" i="6"/>
  <c r="F208" i="6"/>
  <c r="CC207" i="6"/>
  <c r="BM207" i="6"/>
  <c r="AW207" i="6"/>
  <c r="AG207" i="6"/>
  <c r="Q207" i="6"/>
  <c r="CN206" i="6"/>
  <c r="BX206" i="6"/>
  <c r="BH206" i="6"/>
  <c r="AR206" i="6"/>
  <c r="AB206" i="6"/>
  <c r="L206" i="6"/>
  <c r="AQ198" i="6"/>
  <c r="BL198" i="6"/>
  <c r="CH198" i="6"/>
  <c r="AK198" i="6"/>
  <c r="BA198" i="6"/>
  <c r="BQ198" i="6"/>
  <c r="CG198" i="6"/>
  <c r="X196" i="6"/>
  <c r="AV198" i="6"/>
  <c r="BR198" i="6"/>
  <c r="CM198" i="6"/>
  <c r="AO198" i="6"/>
  <c r="BE198" i="6"/>
  <c r="BU198" i="6"/>
  <c r="CK198" i="6"/>
  <c r="H196" i="6"/>
  <c r="S196" i="6"/>
  <c r="AF198" i="6"/>
  <c r="BB198" i="6"/>
  <c r="BW198" i="6"/>
  <c r="AC198" i="6"/>
  <c r="AS198" i="6"/>
  <c r="BI198" i="6"/>
  <c r="BY198" i="6"/>
  <c r="CO198" i="6"/>
  <c r="N196" i="6"/>
  <c r="AS57" i="6"/>
  <c r="AS83" i="6" s="1"/>
  <c r="AT55" i="6"/>
  <c r="Q55" i="6"/>
  <c r="BF55" i="6"/>
  <c r="U55" i="6"/>
  <c r="Y55" i="6"/>
  <c r="BA55" i="6"/>
  <c r="BA57" i="6" s="1"/>
  <c r="CD55" i="6"/>
  <c r="CD57" i="6" s="1"/>
  <c r="V55" i="6"/>
  <c r="AR55" i="6"/>
  <c r="BM55" i="6"/>
  <c r="BM57" i="6" s="1"/>
  <c r="CH55" i="6"/>
  <c r="CH57" i="6" s="1"/>
  <c r="O55" i="6"/>
  <c r="O57" i="6" s="1"/>
  <c r="AE55" i="6"/>
  <c r="AU55" i="6"/>
  <c r="BK55" i="6"/>
  <c r="CA55" i="6"/>
  <c r="BD55" i="6"/>
  <c r="BD57" i="6" s="1"/>
  <c r="AH55" i="6"/>
  <c r="CF55" i="6"/>
  <c r="CF57" i="6" s="1"/>
  <c r="X55" i="6"/>
  <c r="BU55" i="6"/>
  <c r="AK55" i="6"/>
  <c r="CL55" i="6"/>
  <c r="CL57" i="6" s="1"/>
  <c r="AP55" i="6"/>
  <c r="AF57" i="6"/>
  <c r="AF97" i="6" s="1"/>
  <c r="BZ55" i="6"/>
  <c r="AO55" i="6"/>
  <c r="J55" i="6"/>
  <c r="AN55" i="6"/>
  <c r="AN57" i="6" s="1"/>
  <c r="BP55" i="6"/>
  <c r="L55" i="6"/>
  <c r="AG55" i="6"/>
  <c r="BB55" i="6"/>
  <c r="BX55" i="6"/>
  <c r="G55" i="6"/>
  <c r="W55" i="6"/>
  <c r="W57" i="6" s="1"/>
  <c r="AM55" i="6"/>
  <c r="BC55" i="6"/>
  <c r="BS55" i="6"/>
  <c r="CI55" i="6"/>
  <c r="H55" i="6"/>
  <c r="H57" i="6" s="1"/>
  <c r="BE55" i="6"/>
  <c r="AV55" i="6"/>
  <c r="AV57" i="6" s="1"/>
  <c r="N55" i="6"/>
  <c r="BL55" i="6"/>
  <c r="CB55" i="6"/>
  <c r="BN55" i="6"/>
  <c r="BN57" i="6" s="1"/>
  <c r="R55" i="6"/>
  <c r="BV55" i="6"/>
  <c r="BV57" i="6" s="1"/>
  <c r="AL55" i="6"/>
  <c r="AL57" i="6" s="1"/>
  <c r="BH55" i="6"/>
  <c r="CC55" i="6"/>
  <c r="K55" i="6"/>
  <c r="K57" i="6" s="1"/>
  <c r="AA55" i="6"/>
  <c r="AA57" i="6" s="1"/>
  <c r="AQ55" i="6"/>
  <c r="AQ57" i="6" s="1"/>
  <c r="BG55" i="6"/>
  <c r="BW55" i="6"/>
  <c r="CM55" i="6"/>
  <c r="CM57" i="6" s="1"/>
  <c r="T55" i="6"/>
  <c r="BT55" i="6"/>
  <c r="I55" i="6"/>
  <c r="BJ55" i="6"/>
  <c r="Z55" i="6"/>
  <c r="BY55" i="6"/>
  <c r="BY57" i="6" s="1"/>
  <c r="AC55" i="6"/>
  <c r="P55" i="6"/>
  <c r="AJ41" i="6"/>
  <c r="H28" i="1"/>
  <c r="AU57" i="6" l="1"/>
  <c r="U41" i="6"/>
  <c r="BV162" i="6"/>
  <c r="BV164" i="6" s="1"/>
  <c r="BV235" i="6" s="1"/>
  <c r="AG162" i="6"/>
  <c r="K146" i="6"/>
  <c r="BH57" i="6"/>
  <c r="BH83" i="6" s="1"/>
  <c r="F57" i="6"/>
  <c r="F97" i="6" s="1"/>
  <c r="CM41" i="6"/>
  <c r="CM75" i="6" s="1"/>
  <c r="Y41" i="6"/>
  <c r="Y96" i="6" s="1"/>
  <c r="BQ162" i="6"/>
  <c r="BF162" i="6"/>
  <c r="BF164" i="6" s="1"/>
  <c r="AM57" i="6"/>
  <c r="AM59" i="6" s="1"/>
  <c r="BO57" i="6"/>
  <c r="BO76" i="6" s="1"/>
  <c r="CE57" i="6"/>
  <c r="CE83" i="6" s="1"/>
  <c r="D41" i="6"/>
  <c r="D75" i="6" s="1"/>
  <c r="E57" i="6"/>
  <c r="E97" i="6" s="1"/>
  <c r="Z57" i="6"/>
  <c r="Z83" i="6" s="1"/>
  <c r="AW57" i="6"/>
  <c r="AW90" i="6" s="1"/>
  <c r="BD146" i="6"/>
  <c r="CG146" i="6"/>
  <c r="CG162" i="6"/>
  <c r="Z146" i="6"/>
  <c r="AT162" i="6"/>
  <c r="AF162" i="6"/>
  <c r="Y162" i="6"/>
  <c r="BR162" i="6"/>
  <c r="X162" i="6"/>
  <c r="X164" i="6" s="1"/>
  <c r="X234" i="6" s="1"/>
  <c r="AU146" i="6"/>
  <c r="AU164" i="6" s="1"/>
  <c r="AU235" i="6" s="1"/>
  <c r="CC146" i="6"/>
  <c r="BC146" i="6"/>
  <c r="M146" i="6"/>
  <c r="BX162" i="6"/>
  <c r="BK162" i="6"/>
  <c r="F162" i="6"/>
  <c r="CL162" i="6"/>
  <c r="CL164" i="6" s="1"/>
  <c r="BE146" i="6"/>
  <c r="BZ146" i="6"/>
  <c r="R146" i="6"/>
  <c r="P146" i="6"/>
  <c r="CF146" i="6"/>
  <c r="BW146" i="6"/>
  <c r="CN57" i="6"/>
  <c r="CN83" i="6" s="1"/>
  <c r="T57" i="6"/>
  <c r="T76" i="6" s="1"/>
  <c r="BX57" i="6"/>
  <c r="BX97" i="6" s="1"/>
  <c r="BB57" i="6"/>
  <c r="BB59" i="6" s="1"/>
  <c r="AL41" i="6"/>
  <c r="AL75" i="6" s="1"/>
  <c r="AH41" i="6"/>
  <c r="AH82" i="6" s="1"/>
  <c r="BZ41" i="6"/>
  <c r="BZ82" i="6" s="1"/>
  <c r="R41" i="6"/>
  <c r="R75" i="6" s="1"/>
  <c r="BG41" i="6"/>
  <c r="BG75" i="6" s="1"/>
  <c r="BK41" i="6"/>
  <c r="BK75" i="6" s="1"/>
  <c r="CN41" i="6"/>
  <c r="CN75" i="6" s="1"/>
  <c r="AO41" i="6"/>
  <c r="AO96" i="6" s="1"/>
  <c r="AF41" i="6"/>
  <c r="AF59" i="6" s="1"/>
  <c r="BE41" i="6"/>
  <c r="BE75" i="6" s="1"/>
  <c r="AR41" i="6"/>
  <c r="AR75" i="6" s="1"/>
  <c r="BX41" i="6"/>
  <c r="BJ41" i="6"/>
  <c r="BJ82" i="6" s="1"/>
  <c r="CO57" i="6"/>
  <c r="CO76" i="6" s="1"/>
  <c r="AI57" i="6"/>
  <c r="AI97" i="6" s="1"/>
  <c r="BI57" i="6"/>
  <c r="BI90" i="6" s="1"/>
  <c r="AE57" i="6"/>
  <c r="AE76" i="6" s="1"/>
  <c r="CO41" i="6"/>
  <c r="CO75" i="6" s="1"/>
  <c r="BF41" i="6"/>
  <c r="BF96" i="6" s="1"/>
  <c r="BU162" i="6"/>
  <c r="AG146" i="6"/>
  <c r="J146" i="6"/>
  <c r="J164" i="6" s="1"/>
  <c r="CA146" i="6"/>
  <c r="AT146" i="6"/>
  <c r="BB162" i="6"/>
  <c r="BC162" i="6"/>
  <c r="BJ162" i="6"/>
  <c r="BJ164" i="6" s="1"/>
  <c r="AR146" i="6"/>
  <c r="AC146" i="6"/>
  <c r="AC164" i="6" s="1"/>
  <c r="BQ146" i="6"/>
  <c r="CB162" i="6"/>
  <c r="CB164" i="6" s="1"/>
  <c r="CB235" i="6" s="1"/>
  <c r="BK146" i="6"/>
  <c r="AR162" i="6"/>
  <c r="BH162" i="6"/>
  <c r="CK162" i="6"/>
  <c r="T146" i="6"/>
  <c r="BH146" i="6"/>
  <c r="AE146" i="6"/>
  <c r="AJ146" i="6"/>
  <c r="BY162" i="6"/>
  <c r="CH146" i="6"/>
  <c r="CH164" i="6" s="1"/>
  <c r="BE162" i="6"/>
  <c r="AP146" i="6"/>
  <c r="G146" i="6"/>
  <c r="AF146" i="6"/>
  <c r="K162" i="6"/>
  <c r="AY162" i="6"/>
  <c r="BX146" i="6"/>
  <c r="AV146" i="6"/>
  <c r="AV164" i="6" s="1"/>
  <c r="AV235" i="6" s="1"/>
  <c r="AH162" i="6"/>
  <c r="CN162" i="6"/>
  <c r="AS162" i="6"/>
  <c r="AS146" i="6"/>
  <c r="AB146" i="6"/>
  <c r="F146" i="6"/>
  <c r="AB162" i="6"/>
  <c r="AL146" i="6"/>
  <c r="AL164" i="6" s="1"/>
  <c r="BO146" i="6"/>
  <c r="BP146" i="6"/>
  <c r="BP164" i="6" s="1"/>
  <c r="G162" i="6"/>
  <c r="M162" i="6"/>
  <c r="N146" i="6"/>
  <c r="N164" i="6" s="1"/>
  <c r="CN146" i="6"/>
  <c r="CE146" i="6"/>
  <c r="CE164" i="6" s="1"/>
  <c r="BZ162" i="6"/>
  <c r="X57" i="6"/>
  <c r="X76" i="6" s="1"/>
  <c r="CL41" i="6"/>
  <c r="CL75" i="6" s="1"/>
  <c r="O41" i="6"/>
  <c r="O96" i="6" s="1"/>
  <c r="G57" i="6"/>
  <c r="G83" i="6" s="1"/>
  <c r="CJ57" i="6"/>
  <c r="CJ97" i="6" s="1"/>
  <c r="AH57" i="6"/>
  <c r="AH83" i="6" s="1"/>
  <c r="AB57" i="6"/>
  <c r="AB97" i="6" s="1"/>
  <c r="L57" i="6"/>
  <c r="L83" i="6" s="1"/>
  <c r="AX57" i="6"/>
  <c r="AX76" i="6" s="1"/>
  <c r="D57" i="6"/>
  <c r="D97" i="6" s="1"/>
  <c r="AK57" i="6"/>
  <c r="AK97" i="6" s="1"/>
  <c r="V57" i="6"/>
  <c r="V90" i="6" s="1"/>
  <c r="BQ41" i="6"/>
  <c r="BQ82" i="6" s="1"/>
  <c r="CP41" i="6"/>
  <c r="CP82" i="6" s="1"/>
  <c r="K41" i="6"/>
  <c r="K75" i="6" s="1"/>
  <c r="CJ41" i="6"/>
  <c r="CJ82" i="6" s="1"/>
  <c r="M41" i="6"/>
  <c r="M89" i="6" s="1"/>
  <c r="AS76" i="6"/>
  <c r="AJ57" i="6"/>
  <c r="AJ90" i="6" s="1"/>
  <c r="CI57" i="6"/>
  <c r="CI76" i="6" s="1"/>
  <c r="AG57" i="6"/>
  <c r="AG76" i="6" s="1"/>
  <c r="BF57" i="6"/>
  <c r="BF90" i="6" s="1"/>
  <c r="Q57" i="6"/>
  <c r="Q59" i="6" s="1"/>
  <c r="I57" i="6"/>
  <c r="I83" i="6" s="1"/>
  <c r="AT57" i="6"/>
  <c r="AT76" i="6" s="1"/>
  <c r="BL41" i="6"/>
  <c r="BL89" i="6" s="1"/>
  <c r="CC41" i="6"/>
  <c r="CC89" i="6" s="1"/>
  <c r="L41" i="6"/>
  <c r="L82" i="6" s="1"/>
  <c r="AB41" i="6"/>
  <c r="AB75" i="6" s="1"/>
  <c r="BT41" i="6"/>
  <c r="BT82" i="6" s="1"/>
  <c r="BH41" i="6"/>
  <c r="BH75" i="6" s="1"/>
  <c r="U57" i="6"/>
  <c r="U83" i="6" s="1"/>
  <c r="S57" i="6"/>
  <c r="S90" i="6" s="1"/>
  <c r="AS97" i="6"/>
  <c r="BP57" i="6"/>
  <c r="BP76" i="6" s="1"/>
  <c r="CB57" i="6"/>
  <c r="CB76" i="6" s="1"/>
  <c r="AS90" i="6"/>
  <c r="AR57" i="6"/>
  <c r="AR90" i="6" s="1"/>
  <c r="BB75" i="6"/>
  <c r="BB96" i="6"/>
  <c r="BB89" i="6"/>
  <c r="BP41" i="6"/>
  <c r="BP89" i="6" s="1"/>
  <c r="CE41" i="6"/>
  <c r="AN41" i="6"/>
  <c r="AN96" i="6" s="1"/>
  <c r="BS41" i="6"/>
  <c r="BS75" i="6" s="1"/>
  <c r="N41" i="6"/>
  <c r="N82" i="6" s="1"/>
  <c r="AA41" i="6"/>
  <c r="AA75" i="6" s="1"/>
  <c r="AK41" i="6"/>
  <c r="AK89" i="6" s="1"/>
  <c r="AG41" i="6"/>
  <c r="AG75" i="6" s="1"/>
  <c r="S41" i="6"/>
  <c r="S75" i="6" s="1"/>
  <c r="P41" i="6"/>
  <c r="P89" i="6" s="1"/>
  <c r="BR41" i="6"/>
  <c r="BR75" i="6" s="1"/>
  <c r="AZ41" i="6"/>
  <c r="AZ75" i="6" s="1"/>
  <c r="F41" i="6"/>
  <c r="F89" i="6" s="1"/>
  <c r="BD162" i="6"/>
  <c r="CI162" i="6"/>
  <c r="I162" i="6"/>
  <c r="I164" i="6" s="1"/>
  <c r="I236" i="6" s="1"/>
  <c r="CJ162" i="6"/>
  <c r="S162" i="6"/>
  <c r="L146" i="6"/>
  <c r="BA146" i="6"/>
  <c r="BA164" i="6" s="1"/>
  <c r="CO146" i="6"/>
  <c r="V146" i="6"/>
  <c r="O162" i="6"/>
  <c r="O164" i="6" s="1"/>
  <c r="BM162" i="6"/>
  <c r="L162" i="6"/>
  <c r="AA162" i="6"/>
  <c r="AA164" i="6" s="1"/>
  <c r="AA236" i="6" s="1"/>
  <c r="BR146" i="6"/>
  <c r="BR164" i="6" s="1"/>
  <c r="U146" i="6"/>
  <c r="U164" i="6" s="1"/>
  <c r="BU146" i="6"/>
  <c r="AW89" i="6"/>
  <c r="AW82" i="6"/>
  <c r="AO146" i="6"/>
  <c r="CA57" i="6"/>
  <c r="CA90" i="6" s="1"/>
  <c r="E41" i="6"/>
  <c r="E96" i="6" s="1"/>
  <c r="AJ162" i="6"/>
  <c r="CP162" i="6"/>
  <c r="AY57" i="6"/>
  <c r="AY76" i="6" s="1"/>
  <c r="CK146" i="6"/>
  <c r="CA162" i="6"/>
  <c r="CC57" i="6"/>
  <c r="CC97" i="6" s="1"/>
  <c r="BL57" i="6"/>
  <c r="BL90" i="6" s="1"/>
  <c r="BC57" i="6"/>
  <c r="BC90" i="6" s="1"/>
  <c r="AS41" i="6"/>
  <c r="AS82" i="6" s="1"/>
  <c r="AS84" i="6" s="1"/>
  <c r="AO162" i="6"/>
  <c r="AE162" i="6"/>
  <c r="AE41" i="6"/>
  <c r="AE75" i="6" s="1"/>
  <c r="CF162" i="6"/>
  <c r="V41" i="6"/>
  <c r="V82" i="6" s="1"/>
  <c r="AX162" i="6"/>
  <c r="AX164" i="6" s="1"/>
  <c r="E146" i="6"/>
  <c r="CI41" i="6"/>
  <c r="Q146" i="6"/>
  <c r="Q164" i="6" s="1"/>
  <c r="Q234" i="6" s="1"/>
  <c r="D146" i="6"/>
  <c r="D164" i="6" s="1"/>
  <c r="D234" i="6" s="1"/>
  <c r="D276" i="6" s="1"/>
  <c r="Z162" i="6"/>
  <c r="S146" i="6"/>
  <c r="BE57" i="6"/>
  <c r="CP57" i="6"/>
  <c r="CP83" i="6" s="1"/>
  <c r="CJ146" i="6"/>
  <c r="CH41" i="6"/>
  <c r="CH89" i="6" s="1"/>
  <c r="AH146" i="6"/>
  <c r="AX41" i="6"/>
  <c r="AX96" i="6" s="1"/>
  <c r="AZ162" i="6"/>
  <c r="AZ164" i="6" s="1"/>
  <c r="AZ236" i="6" s="1"/>
  <c r="BB146" i="6"/>
  <c r="AN162" i="6"/>
  <c r="AN164" i="6" s="1"/>
  <c r="R57" i="6"/>
  <c r="R90" i="6" s="1"/>
  <c r="W146" i="6"/>
  <c r="BA41" i="6"/>
  <c r="BA96" i="6" s="1"/>
  <c r="BT162" i="6"/>
  <c r="BT164" i="6" s="1"/>
  <c r="CI146" i="6"/>
  <c r="N57" i="6"/>
  <c r="N90" i="6" s="1"/>
  <c r="AU41" i="6"/>
  <c r="AU96" i="6" s="1"/>
  <c r="AY146" i="6"/>
  <c r="AP162" i="6"/>
  <c r="BS146" i="6"/>
  <c r="BT57" i="6"/>
  <c r="BT83" i="6" s="1"/>
  <c r="CO162" i="6"/>
  <c r="BI162" i="6"/>
  <c r="BI164" i="6" s="1"/>
  <c r="CG57" i="6"/>
  <c r="CG59" i="6" s="1"/>
  <c r="BG162" i="6"/>
  <c r="BG164" i="6" s="1"/>
  <c r="AI162" i="6"/>
  <c r="AI164" i="6" s="1"/>
  <c r="AI235" i="6" s="1"/>
  <c r="CP146" i="6"/>
  <c r="AK162" i="6"/>
  <c r="BJ57" i="6"/>
  <c r="BJ97" i="6" s="1"/>
  <c r="CK41" i="6"/>
  <c r="CK82" i="6" s="1"/>
  <c r="Y146" i="6"/>
  <c r="BW162" i="6"/>
  <c r="BZ57" i="6"/>
  <c r="BZ76" i="6" s="1"/>
  <c r="AC41" i="6"/>
  <c r="AC89" i="6" s="1"/>
  <c r="BO41" i="6"/>
  <c r="BS57" i="6"/>
  <c r="BS90" i="6" s="1"/>
  <c r="C23" i="6"/>
  <c r="E162" i="6"/>
  <c r="CG82" i="6"/>
  <c r="AV89" i="6"/>
  <c r="P57" i="6"/>
  <c r="P90" i="6" s="1"/>
  <c r="BY146" i="6"/>
  <c r="Z41" i="6"/>
  <c r="Z96" i="6" s="1"/>
  <c r="J57" i="6"/>
  <c r="J76" i="6" s="1"/>
  <c r="AP41" i="6"/>
  <c r="AP75" i="6" s="1"/>
  <c r="J41" i="6"/>
  <c r="J82" i="6" s="1"/>
  <c r="AK146" i="6"/>
  <c r="BG57" i="6"/>
  <c r="BM146" i="6"/>
  <c r="BY41" i="6"/>
  <c r="BY75" i="6" s="1"/>
  <c r="W162" i="6"/>
  <c r="BR57" i="6"/>
  <c r="BR76" i="6" s="1"/>
  <c r="P162" i="6"/>
  <c r="R162" i="6"/>
  <c r="CD89" i="6"/>
  <c r="BU57" i="6"/>
  <c r="BU83" i="6" s="1"/>
  <c r="BC41" i="6"/>
  <c r="BC89" i="6" s="1"/>
  <c r="CC162" i="6"/>
  <c r="BW57" i="6"/>
  <c r="BW90" i="6" s="1"/>
  <c r="BM41" i="6"/>
  <c r="BM96" i="6" s="1"/>
  <c r="AY41" i="6"/>
  <c r="AY82" i="6" s="1"/>
  <c r="T162" i="6"/>
  <c r="BS162" i="6"/>
  <c r="BO162" i="6"/>
  <c r="W41" i="6"/>
  <c r="W82" i="6" s="1"/>
  <c r="V162" i="6"/>
  <c r="Y57" i="6"/>
  <c r="AF76" i="6"/>
  <c r="BB82" i="6"/>
  <c r="AW75" i="6"/>
  <c r="AP57" i="6"/>
  <c r="AP90" i="6" s="1"/>
  <c r="AW96" i="6"/>
  <c r="AO57" i="6"/>
  <c r="AO97" i="6" s="1"/>
  <c r="AC57" i="6"/>
  <c r="AC76" i="6" s="1"/>
  <c r="BK57" i="6"/>
  <c r="BK76" i="6" s="1"/>
  <c r="CF96" i="6"/>
  <c r="AM75" i="6"/>
  <c r="CD96" i="6"/>
  <c r="BV59" i="6"/>
  <c r="CD82" i="6"/>
  <c r="BI75" i="6"/>
  <c r="CK97" i="6"/>
  <c r="BV96" i="6"/>
  <c r="AF83" i="6"/>
  <c r="BI89" i="6"/>
  <c r="CK83" i="6"/>
  <c r="AF90" i="6"/>
  <c r="BI82" i="6"/>
  <c r="CK76" i="6"/>
  <c r="CD164" i="6"/>
  <c r="CD235" i="6" s="1"/>
  <c r="AV76" i="6"/>
  <c r="AV83" i="6"/>
  <c r="AV97" i="6"/>
  <c r="AV98" i="6" s="1"/>
  <c r="AV90" i="6"/>
  <c r="AV59" i="6"/>
  <c r="AA97" i="6"/>
  <c r="AA90" i="6"/>
  <c r="AA76" i="6"/>
  <c r="AA83" i="6"/>
  <c r="CL97" i="6"/>
  <c r="CL76" i="6"/>
  <c r="CL83" i="6"/>
  <c r="CL90" i="6"/>
  <c r="CF90" i="6"/>
  <c r="CF59" i="6"/>
  <c r="CF76" i="6"/>
  <c r="CF83" i="6"/>
  <c r="CF97" i="6"/>
  <c r="BY90" i="6"/>
  <c r="BY97" i="6"/>
  <c r="BY76" i="6"/>
  <c r="BY83" i="6"/>
  <c r="AV82" i="6"/>
  <c r="BV75" i="6"/>
  <c r="BV89" i="6"/>
  <c r="AV75" i="6"/>
  <c r="CG75" i="6"/>
  <c r="CG89" i="6"/>
  <c r="AM96" i="6"/>
  <c r="AM82" i="6"/>
  <c r="CF82" i="6"/>
  <c r="CF89" i="6"/>
  <c r="G89" i="6"/>
  <c r="G82" i="6"/>
  <c r="G75" i="6"/>
  <c r="G96" i="6"/>
  <c r="BL164" i="6"/>
  <c r="O90" i="6"/>
  <c r="O83" i="6"/>
  <c r="O97" i="6"/>
  <c r="O76" i="6"/>
  <c r="BN59" i="6"/>
  <c r="BN82" i="6"/>
  <c r="BN96" i="6"/>
  <c r="BN89" i="6"/>
  <c r="BN75" i="6"/>
  <c r="CM76" i="6"/>
  <c r="CM90" i="6"/>
  <c r="CM83" i="6"/>
  <c r="CM97" i="6"/>
  <c r="BV97" i="6"/>
  <c r="BV76" i="6"/>
  <c r="BV90" i="6"/>
  <c r="BV83" i="6"/>
  <c r="BV84" i="6" s="1"/>
  <c r="AU76" i="6"/>
  <c r="AU97" i="6"/>
  <c r="AU83" i="6"/>
  <c r="AU90" i="6"/>
  <c r="BA76" i="6"/>
  <c r="BA90" i="6"/>
  <c r="BA83" i="6"/>
  <c r="BA97" i="6"/>
  <c r="AD59" i="6"/>
  <c r="AD82" i="6"/>
  <c r="AD75" i="6"/>
  <c r="AD89" i="6"/>
  <c r="AD96" i="6"/>
  <c r="AT82" i="6"/>
  <c r="AT75" i="6"/>
  <c r="AT96" i="6"/>
  <c r="AT89" i="6"/>
  <c r="CB96" i="6"/>
  <c r="CB82" i="6"/>
  <c r="CB75" i="6"/>
  <c r="CB89" i="6"/>
  <c r="M76" i="6"/>
  <c r="M97" i="6"/>
  <c r="M83" i="6"/>
  <c r="M90" i="6"/>
  <c r="AQ90" i="6"/>
  <c r="AQ76" i="6"/>
  <c r="AQ97" i="6"/>
  <c r="AQ83" i="6"/>
  <c r="AQ59" i="6"/>
  <c r="Q89" i="6"/>
  <c r="Q96" i="6"/>
  <c r="Q75" i="6"/>
  <c r="Q82" i="6"/>
  <c r="BM90" i="6"/>
  <c r="BM97" i="6"/>
  <c r="BM76" i="6"/>
  <c r="BM83" i="6"/>
  <c r="AM164" i="6"/>
  <c r="AJ89" i="6"/>
  <c r="AJ82" i="6"/>
  <c r="AJ96" i="6"/>
  <c r="AJ75" i="6"/>
  <c r="I96" i="6"/>
  <c r="I82" i="6"/>
  <c r="I75" i="6"/>
  <c r="I89" i="6"/>
  <c r="T82" i="6"/>
  <c r="T75" i="6"/>
  <c r="T96" i="6"/>
  <c r="T89" i="6"/>
  <c r="CD97" i="6"/>
  <c r="CD90" i="6"/>
  <c r="CD83" i="6"/>
  <c r="CD76" i="6"/>
  <c r="CD59" i="6"/>
  <c r="H82" i="6"/>
  <c r="H89" i="6"/>
  <c r="H75" i="6"/>
  <c r="H96" i="6"/>
  <c r="AD76" i="6"/>
  <c r="AD90" i="6"/>
  <c r="AD97" i="6"/>
  <c r="AD83" i="6"/>
  <c r="H76" i="6"/>
  <c r="H97" i="6"/>
  <c r="H59" i="6"/>
  <c r="H90" i="6"/>
  <c r="H83" i="6"/>
  <c r="BW82" i="6"/>
  <c r="BW96" i="6"/>
  <c r="BW89" i="6"/>
  <c r="BW75" i="6"/>
  <c r="AL97" i="6"/>
  <c r="AL83" i="6"/>
  <c r="AL76" i="6"/>
  <c r="AL90" i="6"/>
  <c r="BQ90" i="6"/>
  <c r="BQ83" i="6"/>
  <c r="BQ76" i="6"/>
  <c r="BQ97" i="6"/>
  <c r="X75" i="6"/>
  <c r="X96" i="6"/>
  <c r="X89" i="6"/>
  <c r="X82" i="6"/>
  <c r="U82" i="6"/>
  <c r="U89" i="6"/>
  <c r="U75" i="6"/>
  <c r="U96" i="6"/>
  <c r="K90" i="6"/>
  <c r="K83" i="6"/>
  <c r="K97" i="6"/>
  <c r="K76" i="6"/>
  <c r="CA89" i="6"/>
  <c r="CA82" i="6"/>
  <c r="CA96" i="6"/>
  <c r="CA75" i="6"/>
  <c r="BD89" i="6"/>
  <c r="BD96" i="6"/>
  <c r="BD75" i="6"/>
  <c r="BD82" i="6"/>
  <c r="BU96" i="6"/>
  <c r="BU82" i="6"/>
  <c r="BU75" i="6"/>
  <c r="BU89" i="6"/>
  <c r="AD164" i="6"/>
  <c r="AQ164" i="6"/>
  <c r="CM164" i="6"/>
  <c r="AZ90" i="6"/>
  <c r="AZ83" i="6"/>
  <c r="AZ97" i="6"/>
  <c r="AZ76" i="6"/>
  <c r="AW164" i="6"/>
  <c r="H164" i="6"/>
  <c r="BN164" i="6"/>
  <c r="AI96" i="6"/>
  <c r="AI75" i="6"/>
  <c r="AI89" i="6"/>
  <c r="AI82" i="6"/>
  <c r="BN97" i="6"/>
  <c r="BN83" i="6"/>
  <c r="BN90" i="6"/>
  <c r="BN76" i="6"/>
  <c r="BD97" i="6"/>
  <c r="BD90" i="6"/>
  <c r="BD59" i="6"/>
  <c r="BD76" i="6"/>
  <c r="BD83" i="6"/>
  <c r="CH76" i="6"/>
  <c r="CH90" i="6"/>
  <c r="CH97" i="6"/>
  <c r="CH83" i="6"/>
  <c r="AN83" i="6"/>
  <c r="AN97" i="6"/>
  <c r="AN90" i="6"/>
  <c r="AN76" i="6"/>
  <c r="AQ82" i="6"/>
  <c r="AQ89" i="6"/>
  <c r="AQ75" i="6"/>
  <c r="AQ96" i="6"/>
  <c r="W97" i="6"/>
  <c r="W90" i="6"/>
  <c r="W83" i="6"/>
  <c r="W76" i="6"/>
  <c r="G260" i="6"/>
  <c r="J7" i="4"/>
  <c r="CM96" i="6" l="1"/>
  <c r="CM98" i="6" s="1"/>
  <c r="CM89" i="6"/>
  <c r="CM91" i="6" s="1"/>
  <c r="F76" i="6"/>
  <c r="BX76" i="6"/>
  <c r="F90" i="6"/>
  <c r="F91" i="6" s="1"/>
  <c r="Y82" i="6"/>
  <c r="Z164" i="6"/>
  <c r="Z234" i="6" s="1"/>
  <c r="BI59" i="6"/>
  <c r="T83" i="6"/>
  <c r="T84" i="6" s="1"/>
  <c r="BO83" i="6"/>
  <c r="BO59" i="6"/>
  <c r="BO90" i="6"/>
  <c r="BO97" i="6"/>
  <c r="BI83" i="6"/>
  <c r="BI84" i="6" s="1"/>
  <c r="F83" i="6"/>
  <c r="AM83" i="6"/>
  <c r="AM84" i="6" s="1"/>
  <c r="Z76" i="6"/>
  <c r="AH76" i="6"/>
  <c r="CE76" i="6"/>
  <c r="CN90" i="6"/>
  <c r="AW83" i="6"/>
  <c r="AW84" i="6" s="1"/>
  <c r="BH90" i="6"/>
  <c r="BJ75" i="6"/>
  <c r="BH76" i="6"/>
  <c r="BH77" i="6" s="1"/>
  <c r="CN76" i="6"/>
  <c r="CN77" i="6" s="1"/>
  <c r="Y59" i="6"/>
  <c r="Y75" i="6"/>
  <c r="Y89" i="6"/>
  <c r="BH97" i="6"/>
  <c r="AW59" i="6"/>
  <c r="CE59" i="6"/>
  <c r="CE97" i="6"/>
  <c r="AW97" i="6"/>
  <c r="AW98" i="6" s="1"/>
  <c r="AW76" i="6"/>
  <c r="AW77" i="6" s="1"/>
  <c r="BJ89" i="6"/>
  <c r="BG96" i="6"/>
  <c r="BG89" i="6"/>
  <c r="K164" i="6"/>
  <c r="K234" i="6" s="1"/>
  <c r="AG164" i="6"/>
  <c r="AG235" i="6" s="1"/>
  <c r="P164" i="6"/>
  <c r="P236" i="6" s="1"/>
  <c r="BD164" i="6"/>
  <c r="BD236" i="6" s="1"/>
  <c r="AI98" i="6"/>
  <c r="BX90" i="6"/>
  <c r="AM97" i="6"/>
  <c r="AM98" i="6" s="1"/>
  <c r="AI90" i="6"/>
  <c r="AI91" i="6" s="1"/>
  <c r="BX59" i="6"/>
  <c r="AI59" i="6"/>
  <c r="BX83" i="6"/>
  <c r="AH90" i="6"/>
  <c r="AM76" i="6"/>
  <c r="AM77" i="6" s="1"/>
  <c r="AI76" i="6"/>
  <c r="AH97" i="6"/>
  <c r="AM90" i="6"/>
  <c r="AM91" i="6" s="1"/>
  <c r="AI83" i="6"/>
  <c r="AI84" i="6" s="1"/>
  <c r="BQ59" i="6"/>
  <c r="CJ76" i="6"/>
  <c r="CJ90" i="6"/>
  <c r="CO83" i="6"/>
  <c r="BG82" i="6"/>
  <c r="BG59" i="6"/>
  <c r="AP89" i="6"/>
  <c r="AP91" i="6" s="1"/>
  <c r="BJ96" i="6"/>
  <c r="BJ98" i="6" s="1"/>
  <c r="BQ75" i="6"/>
  <c r="BQ77" i="6" s="1"/>
  <c r="CM59" i="6"/>
  <c r="CM82" i="6"/>
  <c r="CL59" i="6"/>
  <c r="BQ164" i="6"/>
  <c r="BQ234" i="6" s="1"/>
  <c r="D96" i="6"/>
  <c r="D98" i="6" s="1"/>
  <c r="D82" i="6"/>
  <c r="BK82" i="6"/>
  <c r="D59" i="6"/>
  <c r="D89" i="6"/>
  <c r="BK89" i="6"/>
  <c r="BT89" i="6"/>
  <c r="CN96" i="6"/>
  <c r="BL96" i="6"/>
  <c r="CP96" i="6"/>
  <c r="Y164" i="6"/>
  <c r="Y236" i="6" s="1"/>
  <c r="CL96" i="6"/>
  <c r="CL98" i="6" s="1"/>
  <c r="AR82" i="6"/>
  <c r="R96" i="6"/>
  <c r="M82" i="6"/>
  <c r="M84" i="6" s="1"/>
  <c r="O89" i="6"/>
  <c r="O91" i="6" s="1"/>
  <c r="CE90" i="6"/>
  <c r="BF89" i="6"/>
  <c r="BF91" i="6" s="1"/>
  <c r="Z97" i="6"/>
  <c r="BZ75" i="6"/>
  <c r="BZ77" i="6" s="1"/>
  <c r="D83" i="6"/>
  <c r="T59" i="6"/>
  <c r="CN82" i="6"/>
  <c r="CN84" i="6" s="1"/>
  <c r="Z90" i="6"/>
  <c r="BZ89" i="6"/>
  <c r="BK96" i="6"/>
  <c r="CC75" i="6"/>
  <c r="E76" i="6"/>
  <c r="AR89" i="6"/>
  <c r="AR91" i="6" s="1"/>
  <c r="BX89" i="6"/>
  <c r="E83" i="6"/>
  <c r="BL75" i="6"/>
  <c r="BQ89" i="6"/>
  <c r="BQ91" i="6" s="1"/>
  <c r="AK76" i="6"/>
  <c r="AR96" i="6"/>
  <c r="E90" i="6"/>
  <c r="CL89" i="6"/>
  <c r="CL91" i="6" s="1"/>
  <c r="CL82" i="6"/>
  <c r="CL84" i="6" s="1"/>
  <c r="BQ96" i="6"/>
  <c r="BQ98" i="6" s="1"/>
  <c r="X90" i="6"/>
  <c r="X91" i="6" s="1"/>
  <c r="X59" i="6"/>
  <c r="AH89" i="6"/>
  <c r="AX83" i="6"/>
  <c r="CO59" i="6"/>
  <c r="AE97" i="6"/>
  <c r="AL96" i="6"/>
  <c r="AL98" i="6" s="1"/>
  <c r="BB83" i="6"/>
  <c r="BB84" i="6" s="1"/>
  <c r="AF75" i="6"/>
  <c r="BJ83" i="6"/>
  <c r="BJ84" i="6" s="1"/>
  <c r="U90" i="6"/>
  <c r="U91" i="6" s="1"/>
  <c r="AZ59" i="6"/>
  <c r="AP82" i="6"/>
  <c r="BI76" i="6"/>
  <c r="BI77" i="6" s="1"/>
  <c r="AR83" i="6"/>
  <c r="AE83" i="6"/>
  <c r="AL59" i="6"/>
  <c r="BB90" i="6"/>
  <c r="BB91" i="6" s="1"/>
  <c r="AF89" i="6"/>
  <c r="AF91" i="6" s="1"/>
  <c r="T90" i="6"/>
  <c r="T91" i="6" s="1"/>
  <c r="M96" i="6"/>
  <c r="M98" i="6" s="1"/>
  <c r="BE59" i="6"/>
  <c r="AX90" i="6"/>
  <c r="BE89" i="6"/>
  <c r="CO82" i="6"/>
  <c r="X83" i="6"/>
  <c r="X84" i="6" s="1"/>
  <c r="AH96" i="6"/>
  <c r="AL82" i="6"/>
  <c r="AO82" i="6"/>
  <c r="AB76" i="6"/>
  <c r="AB77" i="6" s="1"/>
  <c r="AH59" i="6"/>
  <c r="CO89" i="6"/>
  <c r="BE96" i="6"/>
  <c r="CO96" i="6"/>
  <c r="X97" i="6"/>
  <c r="X98" i="6" s="1"/>
  <c r="AH75" i="6"/>
  <c r="AD98" i="6"/>
  <c r="AL89" i="6"/>
  <c r="AL91" i="6" s="1"/>
  <c r="L97" i="6"/>
  <c r="AB90" i="6"/>
  <c r="S76" i="6"/>
  <c r="S77" i="6" s="1"/>
  <c r="M75" i="6"/>
  <c r="AG89" i="6"/>
  <c r="CJ89" i="6"/>
  <c r="BB97" i="6"/>
  <c r="BB98" i="6" s="1"/>
  <c r="CN59" i="6"/>
  <c r="AT164" i="6"/>
  <c r="AT236" i="6" s="1"/>
  <c r="CA164" i="6"/>
  <c r="CA234" i="6" s="1"/>
  <c r="BZ164" i="6"/>
  <c r="BZ235" i="6" s="1"/>
  <c r="CG164" i="6"/>
  <c r="CG234" i="6" s="1"/>
  <c r="G164" i="6"/>
  <c r="G236" i="6" s="1"/>
  <c r="G278" i="6" s="1"/>
  <c r="W164" i="6"/>
  <c r="W234" i="6" s="1"/>
  <c r="CC164" i="6"/>
  <c r="CC236" i="6" s="1"/>
  <c r="R164" i="6"/>
  <c r="R236" i="6" s="1"/>
  <c r="E164" i="6"/>
  <c r="E236" i="6" s="1"/>
  <c r="E278" i="6" s="1"/>
  <c r="CN164" i="6"/>
  <c r="CN234" i="6" s="1"/>
  <c r="CK164" i="6"/>
  <c r="CK235" i="6" s="1"/>
  <c r="BM164" i="6"/>
  <c r="BM236" i="6" s="1"/>
  <c r="BE164" i="6"/>
  <c r="BE236" i="6" s="1"/>
  <c r="BH164" i="6"/>
  <c r="BH236" i="6" s="1"/>
  <c r="BC164" i="6"/>
  <c r="BC236" i="6" s="1"/>
  <c r="AF164" i="6"/>
  <c r="AF235" i="6" s="1"/>
  <c r="BB164" i="6"/>
  <c r="BB234" i="6" s="1"/>
  <c r="BX164" i="6"/>
  <c r="BX236" i="6" s="1"/>
  <c r="BW164" i="6"/>
  <c r="BW235" i="6" s="1"/>
  <c r="M164" i="6"/>
  <c r="M235" i="6" s="1"/>
  <c r="BK164" i="6"/>
  <c r="BK234" i="6" s="1"/>
  <c r="F164" i="6"/>
  <c r="F235" i="6" s="1"/>
  <c r="F277" i="6" s="1"/>
  <c r="AR164" i="6"/>
  <c r="AR236" i="6" s="1"/>
  <c r="CF164" i="6"/>
  <c r="CF236" i="6" s="1"/>
  <c r="V164" i="6"/>
  <c r="V236" i="6" s="1"/>
  <c r="BP83" i="6"/>
  <c r="BP90" i="6"/>
  <c r="BP91" i="6" s="1"/>
  <c r="BI97" i="6"/>
  <c r="BI98" i="6" s="1"/>
  <c r="CN97" i="6"/>
  <c r="BB76" i="6"/>
  <c r="BB77" i="6" s="1"/>
  <c r="AT83" i="6"/>
  <c r="AT84" i="6" s="1"/>
  <c r="AX97" i="6"/>
  <c r="BJ76" i="6"/>
  <c r="D90" i="6"/>
  <c r="T97" i="6"/>
  <c r="T98" i="6" s="1"/>
  <c r="CJ83" i="6"/>
  <c r="CJ84" i="6" s="1"/>
  <c r="CO90" i="6"/>
  <c r="AK90" i="6"/>
  <c r="AK91" i="6" s="1"/>
  <c r="R82" i="6"/>
  <c r="BX82" i="6"/>
  <c r="O59" i="6"/>
  <c r="BE82" i="6"/>
  <c r="R89" i="6"/>
  <c r="R91" i="6" s="1"/>
  <c r="BX96" i="6"/>
  <c r="BX98" i="6" s="1"/>
  <c r="BF75" i="6"/>
  <c r="M59" i="6"/>
  <c r="AF82" i="6"/>
  <c r="AF84" i="6" s="1"/>
  <c r="CN89" i="6"/>
  <c r="N96" i="6"/>
  <c r="K82" i="6"/>
  <c r="K84" i="6" s="1"/>
  <c r="BZ96" i="6"/>
  <c r="BX75" i="6"/>
  <c r="BX77" i="6" s="1"/>
  <c r="CP75" i="6"/>
  <c r="BP96" i="6"/>
  <c r="BF82" i="6"/>
  <c r="AF96" i="6"/>
  <c r="AF98" i="6" s="1"/>
  <c r="P82" i="6"/>
  <c r="CE75" i="6"/>
  <c r="AO75" i="6"/>
  <c r="AO89" i="6"/>
  <c r="CC82" i="6"/>
  <c r="O82" i="6"/>
  <c r="O84" i="6" s="1"/>
  <c r="G59" i="6"/>
  <c r="P83" i="6"/>
  <c r="BF83" i="6"/>
  <c r="G76" i="6"/>
  <c r="G77" i="6" s="1"/>
  <c r="AG90" i="6"/>
  <c r="AE90" i="6"/>
  <c r="P76" i="6"/>
  <c r="CO77" i="6"/>
  <c r="G97" i="6"/>
  <c r="G98" i="6" s="1"/>
  <c r="AG97" i="6"/>
  <c r="CO97" i="6"/>
  <c r="V83" i="6"/>
  <c r="V84" i="6" s="1"/>
  <c r="D76" i="6"/>
  <c r="D77" i="6" s="1"/>
  <c r="AJ83" i="6"/>
  <c r="AJ84" i="6" s="1"/>
  <c r="V76" i="6"/>
  <c r="AJ97" i="6"/>
  <c r="AK82" i="6"/>
  <c r="AP96" i="6"/>
  <c r="CP89" i="6"/>
  <c r="BP75" i="6"/>
  <c r="BP77" i="6" s="1"/>
  <c r="BT96" i="6"/>
  <c r="BL82" i="6"/>
  <c r="BL91" i="6"/>
  <c r="BH96" i="6"/>
  <c r="CJ59" i="6"/>
  <c r="BH89" i="6"/>
  <c r="BU164" i="6"/>
  <c r="BU234" i="6" s="1"/>
  <c r="CI164" i="6"/>
  <c r="CI235" i="6" s="1"/>
  <c r="AE164" i="6"/>
  <c r="AE234" i="6" s="1"/>
  <c r="AK164" i="6"/>
  <c r="AK235" i="6" s="1"/>
  <c r="AB164" i="6"/>
  <c r="AB235" i="6" s="1"/>
  <c r="AY164" i="6"/>
  <c r="AY235" i="6" s="1"/>
  <c r="AP164" i="6"/>
  <c r="AP235" i="6" s="1"/>
  <c r="AL234" i="6"/>
  <c r="AL235" i="6"/>
  <c r="AJ164" i="6"/>
  <c r="AJ236" i="6" s="1"/>
  <c r="BO164" i="6"/>
  <c r="BO234" i="6" s="1"/>
  <c r="AS164" i="6"/>
  <c r="AS234" i="6" s="1"/>
  <c r="CE235" i="6"/>
  <c r="CE234" i="6"/>
  <c r="BY164" i="6"/>
  <c r="BY236" i="6" s="1"/>
  <c r="AO164" i="6"/>
  <c r="AO234" i="6" s="1"/>
  <c r="T164" i="6"/>
  <c r="T236" i="6" s="1"/>
  <c r="L164" i="6"/>
  <c r="L236" i="6" s="1"/>
  <c r="AH164" i="6"/>
  <c r="AH236" i="6" s="1"/>
  <c r="S164" i="6"/>
  <c r="S236" i="6" s="1"/>
  <c r="CO164" i="6"/>
  <c r="CO236" i="6" s="1"/>
  <c r="CJ164" i="6"/>
  <c r="CJ235" i="6" s="1"/>
  <c r="L76" i="6"/>
  <c r="V97" i="6"/>
  <c r="CB97" i="6"/>
  <c r="CB98" i="6" s="1"/>
  <c r="G90" i="6"/>
  <c r="G91" i="6" s="1"/>
  <c r="AK83" i="6"/>
  <c r="CC96" i="6"/>
  <c r="CC98" i="6" s="1"/>
  <c r="CE89" i="6"/>
  <c r="O75" i="6"/>
  <c r="O77" i="6" s="1"/>
  <c r="L90" i="6"/>
  <c r="AX89" i="6"/>
  <c r="AO59" i="6"/>
  <c r="AK75" i="6"/>
  <c r="U59" i="6"/>
  <c r="S96" i="6"/>
  <c r="BP97" i="6"/>
  <c r="AR59" i="6"/>
  <c r="AX82" i="6"/>
  <c r="AJ76" i="6"/>
  <c r="AJ77" i="6" s="1"/>
  <c r="K89" i="6"/>
  <c r="BF76" i="6"/>
  <c r="BF97" i="6"/>
  <c r="BF98" i="6" s="1"/>
  <c r="AX75" i="6"/>
  <c r="AX77" i="6" s="1"/>
  <c r="CJ96" i="6"/>
  <c r="CJ98" i="6" s="1"/>
  <c r="AB83" i="6"/>
  <c r="K96" i="6"/>
  <c r="K98" i="6" s="1"/>
  <c r="CJ75" i="6"/>
  <c r="CJ77" i="6" s="1"/>
  <c r="I90" i="6"/>
  <c r="I91" i="6" s="1"/>
  <c r="AA59" i="6"/>
  <c r="AY90" i="6"/>
  <c r="CB59" i="6"/>
  <c r="CE82" i="6"/>
  <c r="L59" i="6"/>
  <c r="J96" i="6"/>
  <c r="CI83" i="6"/>
  <c r="AJ59" i="6"/>
  <c r="AY97" i="6"/>
  <c r="AO76" i="6"/>
  <c r="AB82" i="6"/>
  <c r="L96" i="6"/>
  <c r="K59" i="6"/>
  <c r="BP59" i="6"/>
  <c r="AO83" i="6"/>
  <c r="CB90" i="6"/>
  <c r="CB91" i="6" s="1"/>
  <c r="Q90" i="6"/>
  <c r="J89" i="6"/>
  <c r="CI90" i="6"/>
  <c r="AB96" i="6"/>
  <c r="AB98" i="6" s="1"/>
  <c r="L75" i="6"/>
  <c r="CB83" i="6"/>
  <c r="CB84" i="6" s="1"/>
  <c r="BR89" i="6"/>
  <c r="CC59" i="6"/>
  <c r="AG83" i="6"/>
  <c r="F59" i="6"/>
  <c r="CI97" i="6"/>
  <c r="AB89" i="6"/>
  <c r="L89" i="6"/>
  <c r="AB59" i="6"/>
  <c r="CI59" i="6"/>
  <c r="N83" i="6"/>
  <c r="BH82" i="6"/>
  <c r="S97" i="6"/>
  <c r="BK97" i="6"/>
  <c r="BT76" i="6"/>
  <c r="I76" i="6"/>
  <c r="Q97" i="6"/>
  <c r="Q98" i="6" s="1"/>
  <c r="BW59" i="6"/>
  <c r="J97" i="6"/>
  <c r="AS104" i="6"/>
  <c r="AS119" i="6" s="1"/>
  <c r="BT97" i="6"/>
  <c r="BK90" i="6"/>
  <c r="BT59" i="6"/>
  <c r="I97" i="6"/>
  <c r="I98" i="6" s="1"/>
  <c r="Q76" i="6"/>
  <c r="Q77" i="6" s="1"/>
  <c r="BG83" i="6"/>
  <c r="BW97" i="6"/>
  <c r="BW98" i="6" s="1"/>
  <c r="AT90" i="6"/>
  <c r="BF59" i="6"/>
  <c r="BS97" i="6"/>
  <c r="S83" i="6"/>
  <c r="BK59" i="6"/>
  <c r="BK83" i="6"/>
  <c r="BT90" i="6"/>
  <c r="U76" i="6"/>
  <c r="I59" i="6"/>
  <c r="Q83" i="6"/>
  <c r="Q84" i="6" s="1"/>
  <c r="BG97" i="6"/>
  <c r="BG98" i="6" s="1"/>
  <c r="AT97" i="6"/>
  <c r="AT98" i="6" s="1"/>
  <c r="AT59" i="6"/>
  <c r="BS83" i="6"/>
  <c r="AY83" i="6"/>
  <c r="U97" i="6"/>
  <c r="U98" i="6" s="1"/>
  <c r="AG59" i="6"/>
  <c r="AK96" i="6"/>
  <c r="AK98" i="6" s="1"/>
  <c r="AA89" i="6"/>
  <c r="AA91" i="6" s="1"/>
  <c r="F82" i="6"/>
  <c r="CI82" i="6"/>
  <c r="CK59" i="6"/>
  <c r="BM89" i="6"/>
  <c r="BM91" i="6" s="1"/>
  <c r="AS89" i="6"/>
  <c r="AS91" i="6" s="1"/>
  <c r="N89" i="6"/>
  <c r="N91" i="6" s="1"/>
  <c r="BH59" i="6"/>
  <c r="CI75" i="6"/>
  <c r="CI77" i="6" s="1"/>
  <c r="BM75" i="6"/>
  <c r="BM77" i="6" s="1"/>
  <c r="AS75" i="6"/>
  <c r="AS77" i="6" s="1"/>
  <c r="N75" i="6"/>
  <c r="AK59" i="6"/>
  <c r="AS59" i="6"/>
  <c r="CI89" i="6"/>
  <c r="AG82" i="6"/>
  <c r="CI96" i="6"/>
  <c r="CK89" i="6"/>
  <c r="CK91" i="6" s="1"/>
  <c r="BT75" i="6"/>
  <c r="AS96" i="6"/>
  <c r="AS98" i="6" s="1"/>
  <c r="CH82" i="6"/>
  <c r="CH84" i="6" s="1"/>
  <c r="AA96" i="6"/>
  <c r="AA98" i="6" s="1"/>
  <c r="AG96" i="6"/>
  <c r="M91" i="6"/>
  <c r="J75" i="6"/>
  <c r="AW91" i="6"/>
  <c r="AA82" i="6"/>
  <c r="AA84" i="6" s="1"/>
  <c r="CH75" i="6"/>
  <c r="CH77" i="6" s="1"/>
  <c r="AR97" i="6"/>
  <c r="BW76" i="6"/>
  <c r="BW77" i="6" s="1"/>
  <c r="N76" i="6"/>
  <c r="CA59" i="6"/>
  <c r="CG97" i="6"/>
  <c r="CG98" i="6" s="1"/>
  <c r="CA83" i="6"/>
  <c r="Y76" i="6"/>
  <c r="N97" i="6"/>
  <c r="CG83" i="6"/>
  <c r="CG84" i="6" s="1"/>
  <c r="CA76" i="6"/>
  <c r="CA77" i="6" s="1"/>
  <c r="Y97" i="6"/>
  <c r="Y98" i="6" s="1"/>
  <c r="S59" i="6"/>
  <c r="AP59" i="6"/>
  <c r="Y90" i="6"/>
  <c r="BL59" i="6"/>
  <c r="AR76" i="6"/>
  <c r="AP97" i="6"/>
  <c r="R59" i="6"/>
  <c r="BW83" i="6"/>
  <c r="BW84" i="6" s="1"/>
  <c r="BE90" i="6"/>
  <c r="AP83" i="6"/>
  <c r="J90" i="6"/>
  <c r="S82" i="6"/>
  <c r="BP82" i="6"/>
  <c r="BA89" i="6"/>
  <c r="BA91" i="6" s="1"/>
  <c r="AN89" i="6"/>
  <c r="AN91" i="6" s="1"/>
  <c r="CH96" i="6"/>
  <c r="CH98" i="6" s="1"/>
  <c r="BB103" i="6"/>
  <c r="BB118" i="6" s="1"/>
  <c r="BR59" i="6"/>
  <c r="BR82" i="6"/>
  <c r="BR96" i="6"/>
  <c r="AE59" i="6"/>
  <c r="AC96" i="6"/>
  <c r="BS96" i="6"/>
  <c r="AX59" i="6"/>
  <c r="AN75" i="6"/>
  <c r="AN77" i="6" s="1"/>
  <c r="AE89" i="6"/>
  <c r="CE96" i="6"/>
  <c r="BS89" i="6"/>
  <c r="BS91" i="6" s="1"/>
  <c r="AN82" i="6"/>
  <c r="AN84" i="6" s="1"/>
  <c r="P96" i="6"/>
  <c r="BS82" i="6"/>
  <c r="P75" i="6"/>
  <c r="AN59" i="6"/>
  <c r="S89" i="6"/>
  <c r="S91" i="6" s="1"/>
  <c r="CD98" i="6"/>
  <c r="BY89" i="6"/>
  <c r="BY91" i="6" s="1"/>
  <c r="BC59" i="6"/>
  <c r="Z75" i="6"/>
  <c r="Z77" i="6" s="1"/>
  <c r="AZ96" i="6"/>
  <c r="AZ98" i="6" s="1"/>
  <c r="BA82" i="6"/>
  <c r="BA84" i="6" s="1"/>
  <c r="W75" i="6"/>
  <c r="W77" i="6" s="1"/>
  <c r="AZ89" i="6"/>
  <c r="CH59" i="6"/>
  <c r="F96" i="6"/>
  <c r="F98" i="6" s="1"/>
  <c r="F75" i="6"/>
  <c r="V59" i="6"/>
  <c r="W96" i="6"/>
  <c r="W98" i="6" s="1"/>
  <c r="AZ82" i="6"/>
  <c r="AZ84" i="6" s="1"/>
  <c r="AE96" i="6"/>
  <c r="BA75" i="6"/>
  <c r="E82" i="6"/>
  <c r="BA59" i="6"/>
  <c r="AU82" i="6"/>
  <c r="AU84" i="6" s="1"/>
  <c r="BO82" i="6"/>
  <c r="AU89" i="6"/>
  <c r="AU91" i="6" s="1"/>
  <c r="AE82" i="6"/>
  <c r="E89" i="6"/>
  <c r="BY82" i="6"/>
  <c r="AV84" i="6"/>
  <c r="G84" i="6"/>
  <c r="CD84" i="6"/>
  <c r="AV91" i="6"/>
  <c r="I235" i="6"/>
  <c r="BA235" i="6"/>
  <c r="BA236" i="6"/>
  <c r="I234" i="6"/>
  <c r="CP164" i="6"/>
  <c r="CP236" i="6" s="1"/>
  <c r="AL236" i="6"/>
  <c r="CE236" i="6"/>
  <c r="AU236" i="6"/>
  <c r="BS164" i="6"/>
  <c r="BS235" i="6" s="1"/>
  <c r="BG234" i="6"/>
  <c r="BG235" i="6"/>
  <c r="BG236" i="6"/>
  <c r="AX234" i="6"/>
  <c r="AX235" i="6"/>
  <c r="BN84" i="6"/>
  <c r="R83" i="6"/>
  <c r="BO89" i="6"/>
  <c r="CC90" i="6"/>
  <c r="CC91" i="6" s="1"/>
  <c r="CG90" i="6"/>
  <c r="CG91" i="6" s="1"/>
  <c r="P59" i="6"/>
  <c r="BC96" i="6"/>
  <c r="BO75" i="6"/>
  <c r="BO77" i="6" s="1"/>
  <c r="CP76" i="6"/>
  <c r="BL83" i="6"/>
  <c r="CC83" i="6"/>
  <c r="CG76" i="6"/>
  <c r="BG76" i="6"/>
  <c r="BG77" i="6" s="1"/>
  <c r="BU59" i="6"/>
  <c r="V96" i="6"/>
  <c r="BE97" i="6"/>
  <c r="P97" i="6"/>
  <c r="BV98" i="6"/>
  <c r="BC75" i="6"/>
  <c r="BO96" i="6"/>
  <c r="Y83" i="6"/>
  <c r="BC83" i="6"/>
  <c r="AP76" i="6"/>
  <c r="AP77" i="6" s="1"/>
  <c r="CP90" i="6"/>
  <c r="N59" i="6"/>
  <c r="CP97" i="6"/>
  <c r="BC97" i="6"/>
  <c r="BU90" i="6"/>
  <c r="BU91" i="6" s="1"/>
  <c r="BL97" i="6"/>
  <c r="AI234" i="6"/>
  <c r="Z59" i="6"/>
  <c r="CC76" i="6"/>
  <c r="AC75" i="6"/>
  <c r="AC77" i="6" s="1"/>
  <c r="BG90" i="6"/>
  <c r="BU76" i="6"/>
  <c r="BU77" i="6" s="1"/>
  <c r="V75" i="6"/>
  <c r="BE83" i="6"/>
  <c r="BC82" i="6"/>
  <c r="BY59" i="6"/>
  <c r="CD103" i="6"/>
  <c r="CD118" i="6" s="1"/>
  <c r="CP59" i="6"/>
  <c r="E59" i="6"/>
  <c r="Z89" i="6"/>
  <c r="E75" i="6"/>
  <c r="AU75" i="6"/>
  <c r="AU77" i="6" s="1"/>
  <c r="BC76" i="6"/>
  <c r="BL76" i="6"/>
  <c r="V89" i="6"/>
  <c r="V91" i="6" s="1"/>
  <c r="CA97" i="6"/>
  <c r="CA98" i="6" s="1"/>
  <c r="AC59" i="6"/>
  <c r="BJ90" i="6"/>
  <c r="AW103" i="6"/>
  <c r="AW118" i="6" s="1"/>
  <c r="CK84" i="6"/>
  <c r="Z82" i="6"/>
  <c r="Z84" i="6" s="1"/>
  <c r="R76" i="6"/>
  <c r="R77" i="6" s="1"/>
  <c r="BY96" i="6"/>
  <c r="BY98" i="6" s="1"/>
  <c r="R97" i="6"/>
  <c r="AC82" i="6"/>
  <c r="BU97" i="6"/>
  <c r="BE76" i="6"/>
  <c r="BE77" i="6" s="1"/>
  <c r="AU59" i="6"/>
  <c r="I84" i="6"/>
  <c r="BQ84" i="6"/>
  <c r="CD91" i="6"/>
  <c r="BJ59" i="6"/>
  <c r="BR97" i="6"/>
  <c r="BI103" i="6"/>
  <c r="BI118" i="6" s="1"/>
  <c r="BZ59" i="6"/>
  <c r="BR83" i="6"/>
  <c r="BZ97" i="6"/>
  <c r="AY59" i="6"/>
  <c r="BV103" i="6"/>
  <c r="BV118" i="6" s="1"/>
  <c r="AC83" i="6"/>
  <c r="CK75" i="6"/>
  <c r="CK77" i="6" s="1"/>
  <c r="AU234" i="6"/>
  <c r="BM82" i="6"/>
  <c r="BM84" i="6" s="1"/>
  <c r="BV91" i="6"/>
  <c r="BR90" i="6"/>
  <c r="BZ83" i="6"/>
  <c r="BZ84" i="6" s="1"/>
  <c r="AY89" i="6"/>
  <c r="CF98" i="6"/>
  <c r="BS76" i="6"/>
  <c r="AC90" i="6"/>
  <c r="AC91" i="6" s="1"/>
  <c r="W84" i="6"/>
  <c r="CK96" i="6"/>
  <c r="CK98" i="6" s="1"/>
  <c r="AA235" i="6"/>
  <c r="BM59" i="6"/>
  <c r="AZ235" i="6"/>
  <c r="J83" i="6"/>
  <c r="J84" i="6" s="1"/>
  <c r="AO90" i="6"/>
  <c r="BZ90" i="6"/>
  <c r="AA234" i="6"/>
  <c r="J59" i="6"/>
  <c r="W59" i="6"/>
  <c r="BA234" i="6"/>
  <c r="W89" i="6"/>
  <c r="CD236" i="6"/>
  <c r="BV236" i="6"/>
  <c r="AZ234" i="6"/>
  <c r="AY75" i="6"/>
  <c r="AY77" i="6" s="1"/>
  <c r="L84" i="6"/>
  <c r="AY96" i="6"/>
  <c r="CH91" i="6"/>
  <c r="BD91" i="6"/>
  <c r="BS59" i="6"/>
  <c r="Q235" i="6"/>
  <c r="BI91" i="6"/>
  <c r="AO98" i="6"/>
  <c r="D235" i="6"/>
  <c r="D277" i="6" s="1"/>
  <c r="Q236" i="6"/>
  <c r="CP84" i="6"/>
  <c r="AX236" i="6"/>
  <c r="BV234" i="6"/>
  <c r="D236" i="6"/>
  <c r="D278" i="6" s="1"/>
  <c r="AV103" i="6"/>
  <c r="AV118" i="6" s="1"/>
  <c r="AC97" i="6"/>
  <c r="AU98" i="6"/>
  <c r="X235" i="6"/>
  <c r="AD91" i="6"/>
  <c r="X236" i="6"/>
  <c r="AM103" i="6"/>
  <c r="AM118" i="6" s="1"/>
  <c r="H84" i="6"/>
  <c r="AI236" i="6"/>
  <c r="CB236" i="6"/>
  <c r="AV236" i="6"/>
  <c r="H98" i="6"/>
  <c r="BC91" i="6"/>
  <c r="CK104" i="6"/>
  <c r="CK119" i="6" s="1"/>
  <c r="AF104" i="6"/>
  <c r="AF119" i="6" s="1"/>
  <c r="BM98" i="6"/>
  <c r="BN91" i="6"/>
  <c r="CD234" i="6"/>
  <c r="CB234" i="6"/>
  <c r="G103" i="6"/>
  <c r="G118" i="6" s="1"/>
  <c r="AV234" i="6"/>
  <c r="BA98" i="6"/>
  <c r="H103" i="6"/>
  <c r="H118" i="6" s="1"/>
  <c r="CF103" i="6"/>
  <c r="CF118" i="6" s="1"/>
  <c r="CG103" i="6"/>
  <c r="CG118" i="6" s="1"/>
  <c r="CF77" i="6"/>
  <c r="CF104" i="6"/>
  <c r="AQ91" i="6"/>
  <c r="AA104" i="6"/>
  <c r="AA77" i="6"/>
  <c r="AQ103" i="6"/>
  <c r="AQ118" i="6" s="1"/>
  <c r="BD84" i="6"/>
  <c r="BD98" i="6"/>
  <c r="BU103" i="6"/>
  <c r="BU118" i="6" s="1"/>
  <c r="H91" i="6"/>
  <c r="AH84" i="6"/>
  <c r="AJ91" i="6"/>
  <c r="CF91" i="6"/>
  <c r="CL104" i="6"/>
  <c r="CL77" i="6"/>
  <c r="AV77" i="6"/>
  <c r="AV104" i="6"/>
  <c r="BY77" i="6"/>
  <c r="BY104" i="6"/>
  <c r="CF84" i="6"/>
  <c r="N234" i="6"/>
  <c r="N235" i="6"/>
  <c r="N236" i="6"/>
  <c r="BQ104" i="6"/>
  <c r="CH234" i="6"/>
  <c r="CH236" i="6"/>
  <c r="CH235" i="6"/>
  <c r="CA91" i="6"/>
  <c r="AW236" i="6"/>
  <c r="AW235" i="6"/>
  <c r="AW234" i="6"/>
  <c r="AC236" i="6"/>
  <c r="AC235" i="6"/>
  <c r="AC234" i="6"/>
  <c r="AN236" i="6"/>
  <c r="AN234" i="6"/>
  <c r="AN235" i="6"/>
  <c r="BD103" i="6"/>
  <c r="BD118" i="6" s="1"/>
  <c r="CA103" i="6"/>
  <c r="CA118" i="6" s="1"/>
  <c r="K77" i="6"/>
  <c r="K104" i="6"/>
  <c r="X77" i="6"/>
  <c r="X103" i="6"/>
  <c r="X118" i="6" s="1"/>
  <c r="H77" i="6"/>
  <c r="H104" i="6"/>
  <c r="AD77" i="6"/>
  <c r="AD104" i="6"/>
  <c r="CL234" i="6"/>
  <c r="CL236" i="6"/>
  <c r="CL235" i="6"/>
  <c r="I103" i="6"/>
  <c r="I118" i="6" s="1"/>
  <c r="U236" i="6"/>
  <c r="U235" i="6"/>
  <c r="U234" i="6"/>
  <c r="AE77" i="6"/>
  <c r="Q103" i="6"/>
  <c r="Q118" i="6" s="1"/>
  <c r="AQ84" i="6"/>
  <c r="M104" i="6"/>
  <c r="CB103" i="6"/>
  <c r="CB118" i="6" s="1"/>
  <c r="P91" i="6"/>
  <c r="AD103" i="6"/>
  <c r="AD118" i="6" s="1"/>
  <c r="BA104" i="6"/>
  <c r="AU104" i="6"/>
  <c r="BN103" i="6"/>
  <c r="BN118" i="6" s="1"/>
  <c r="O104" i="6"/>
  <c r="W104" i="6"/>
  <c r="CB77" i="6"/>
  <c r="H236" i="6"/>
  <c r="H235" i="6"/>
  <c r="H234" i="6"/>
  <c r="AQ235" i="6"/>
  <c r="AQ236" i="6"/>
  <c r="AQ234" i="6"/>
  <c r="BT84" i="6"/>
  <c r="BD77" i="6"/>
  <c r="BD104" i="6"/>
  <c r="BN104" i="6"/>
  <c r="BN77" i="6"/>
  <c r="BN98" i="6"/>
  <c r="BN234" i="6"/>
  <c r="BN236" i="6"/>
  <c r="BN235" i="6"/>
  <c r="AD234" i="6"/>
  <c r="AD236" i="6"/>
  <c r="AD235" i="6"/>
  <c r="BJ234" i="6"/>
  <c r="BJ236" i="6"/>
  <c r="BJ235" i="6"/>
  <c r="AD84" i="6"/>
  <c r="BF234" i="6"/>
  <c r="BF236" i="6"/>
  <c r="BF235" i="6"/>
  <c r="AJ103" i="6"/>
  <c r="AJ118" i="6" s="1"/>
  <c r="BP236" i="6"/>
  <c r="BP235" i="6"/>
  <c r="BP234" i="6"/>
  <c r="BM104" i="6"/>
  <c r="BW91" i="6"/>
  <c r="AT77" i="6"/>
  <c r="AQ98" i="6"/>
  <c r="BU84" i="6"/>
  <c r="CM77" i="6"/>
  <c r="CM104" i="6"/>
  <c r="O98" i="6"/>
  <c r="BL236" i="6"/>
  <c r="BL235" i="6"/>
  <c r="BL234" i="6"/>
  <c r="BR234" i="6"/>
  <c r="BR236" i="6"/>
  <c r="BR235" i="6"/>
  <c r="AI103" i="6"/>
  <c r="AG77" i="6"/>
  <c r="AM235" i="6"/>
  <c r="AM234" i="6"/>
  <c r="AM236" i="6"/>
  <c r="O235" i="6"/>
  <c r="O236" i="6"/>
  <c r="O234" i="6"/>
  <c r="BK77" i="6"/>
  <c r="BI235" i="6"/>
  <c r="BI236" i="6"/>
  <c r="BI234" i="6"/>
  <c r="AN104" i="6"/>
  <c r="AN98" i="6"/>
  <c r="CH104" i="6"/>
  <c r="U84" i="6"/>
  <c r="AZ77" i="6"/>
  <c r="AZ104" i="6"/>
  <c r="CM235" i="6"/>
  <c r="CM236" i="6"/>
  <c r="CM234" i="6"/>
  <c r="U103" i="6"/>
  <c r="U118" i="6" s="1"/>
  <c r="AL77" i="6"/>
  <c r="AL104" i="6"/>
  <c r="BW103" i="6"/>
  <c r="BW118" i="6" s="1"/>
  <c r="CD104" i="6"/>
  <c r="CD77" i="6"/>
  <c r="T77" i="6"/>
  <c r="T103" i="6"/>
  <c r="J234" i="6"/>
  <c r="J236" i="6"/>
  <c r="J235" i="6"/>
  <c r="E98" i="6"/>
  <c r="AQ77" i="6"/>
  <c r="AQ104" i="6"/>
  <c r="AT103" i="6"/>
  <c r="AT118" i="6" s="1"/>
  <c r="BV77" i="6"/>
  <c r="BV104" i="6"/>
  <c r="BR77" i="6"/>
  <c r="BT236" i="6"/>
  <c r="BT235" i="6"/>
  <c r="BT234" i="6"/>
  <c r="H260" i="6"/>
  <c r="E6" i="1"/>
  <c r="E8" i="1"/>
  <c r="CM103" i="6" l="1"/>
  <c r="CM118" i="6" s="1"/>
  <c r="BO84" i="6"/>
  <c r="F77" i="6"/>
  <c r="Y84" i="6"/>
  <c r="F104" i="6"/>
  <c r="F119" i="6" s="1"/>
  <c r="AH91" i="6"/>
  <c r="Z235" i="6"/>
  <c r="BO98" i="6"/>
  <c r="BH91" i="6"/>
  <c r="BO104" i="6"/>
  <c r="BO119" i="6" s="1"/>
  <c r="Z236" i="6"/>
  <c r="AH104" i="6"/>
  <c r="AH119" i="6" s="1"/>
  <c r="AG98" i="6"/>
  <c r="F84" i="6"/>
  <c r="CE77" i="6"/>
  <c r="BO91" i="6"/>
  <c r="BG91" i="6"/>
  <c r="CM84" i="6"/>
  <c r="CO84" i="6"/>
  <c r="AX91" i="6"/>
  <c r="CN91" i="6"/>
  <c r="BH104" i="6"/>
  <c r="BH119" i="6" s="1"/>
  <c r="AW104" i="6"/>
  <c r="AW119" i="6" s="1"/>
  <c r="AW120" i="6" s="1"/>
  <c r="BK91" i="6"/>
  <c r="BK98" i="6"/>
  <c r="D84" i="6"/>
  <c r="BG103" i="6"/>
  <c r="BG118" i="6" s="1"/>
  <c r="Y103" i="6"/>
  <c r="Y118" i="6" s="1"/>
  <c r="CN104" i="6"/>
  <c r="CN119" i="6" s="1"/>
  <c r="BJ77" i="6"/>
  <c r="D103" i="6"/>
  <c r="D118" i="6" s="1"/>
  <c r="Y77" i="6"/>
  <c r="BQ235" i="6"/>
  <c r="BQ236" i="6"/>
  <c r="P234" i="6"/>
  <c r="AG234" i="6"/>
  <c r="AG236" i="6"/>
  <c r="E91" i="6"/>
  <c r="AR84" i="6"/>
  <c r="BX84" i="6"/>
  <c r="Y91" i="6"/>
  <c r="BL98" i="6"/>
  <c r="AP98" i="6"/>
  <c r="X104" i="6"/>
  <c r="X105" i="6" s="1"/>
  <c r="CE98" i="6"/>
  <c r="AI104" i="6"/>
  <c r="AI119" i="6" s="1"/>
  <c r="BX104" i="6"/>
  <c r="BX119" i="6" s="1"/>
  <c r="AM104" i="6"/>
  <c r="AM105" i="6" s="1"/>
  <c r="AE98" i="6"/>
  <c r="BH98" i="6"/>
  <c r="CJ91" i="6"/>
  <c r="AH98" i="6"/>
  <c r="BD235" i="6"/>
  <c r="BD234" i="6"/>
  <c r="AT235" i="6"/>
  <c r="K235" i="6"/>
  <c r="AT234" i="6"/>
  <c r="K236" i="6"/>
  <c r="Y234" i="6"/>
  <c r="Y235" i="6"/>
  <c r="P235" i="6"/>
  <c r="E84" i="6"/>
  <c r="AI77" i="6"/>
  <c r="E104" i="6"/>
  <c r="E119" i="6" s="1"/>
  <c r="Z91" i="6"/>
  <c r="BJ103" i="6"/>
  <c r="BJ118" i="6" s="1"/>
  <c r="BT91" i="6"/>
  <c r="BG84" i="6"/>
  <c r="BK103" i="6"/>
  <c r="BK118" i="6" s="1"/>
  <c r="BK84" i="6"/>
  <c r="CN103" i="6"/>
  <c r="CN118" i="6" s="1"/>
  <c r="CG235" i="6"/>
  <c r="BX103" i="6"/>
  <c r="BX118" i="6" s="1"/>
  <c r="AK84" i="6"/>
  <c r="BX91" i="6"/>
  <c r="BL103" i="6"/>
  <c r="BL118" i="6" s="1"/>
  <c r="CP98" i="6"/>
  <c r="L103" i="6"/>
  <c r="L118" i="6" s="1"/>
  <c r="AR103" i="6"/>
  <c r="AR118" i="6" s="1"/>
  <c r="BL77" i="6"/>
  <c r="AO84" i="6"/>
  <c r="CL103" i="6"/>
  <c r="CL118" i="6" s="1"/>
  <c r="BT98" i="6"/>
  <c r="AO77" i="6"/>
  <c r="R98" i="6"/>
  <c r="AG91" i="6"/>
  <c r="V98" i="6"/>
  <c r="AH103" i="6"/>
  <c r="AH118" i="6" s="1"/>
  <c r="AL103" i="6"/>
  <c r="AL118" i="6" s="1"/>
  <c r="Z104" i="6"/>
  <c r="Z119" i="6" s="1"/>
  <c r="M103" i="6"/>
  <c r="M118" i="6" s="1"/>
  <c r="CE91" i="6"/>
  <c r="CO103" i="6"/>
  <c r="AP103" i="6"/>
  <c r="AP118" i="6" s="1"/>
  <c r="AF103" i="6"/>
  <c r="AF105" i="6" s="1"/>
  <c r="BZ103" i="6"/>
  <c r="BZ118" i="6" s="1"/>
  <c r="BP103" i="6"/>
  <c r="BP118" i="6" s="1"/>
  <c r="G235" i="6"/>
  <c r="G277" i="6" s="1"/>
  <c r="CG236" i="6"/>
  <c r="BM235" i="6"/>
  <c r="BZ234" i="6"/>
  <c r="CA235" i="6"/>
  <c r="G234" i="6"/>
  <c r="G276" i="6" s="1"/>
  <c r="BZ236" i="6"/>
  <c r="AR98" i="6"/>
  <c r="BL84" i="6"/>
  <c r="BB104" i="6"/>
  <c r="BB105" i="6" s="1"/>
  <c r="CC77" i="6"/>
  <c r="BE103" i="6"/>
  <c r="BE118" i="6" s="1"/>
  <c r="AF77" i="6"/>
  <c r="CE104" i="6"/>
  <c r="CE119" i="6" s="1"/>
  <c r="CN98" i="6"/>
  <c r="CJ104" i="6"/>
  <c r="CJ119" i="6" s="1"/>
  <c r="T104" i="6"/>
  <c r="T119" i="6" s="1"/>
  <c r="BZ91" i="6"/>
  <c r="BE98" i="6"/>
  <c r="AE91" i="6"/>
  <c r="CO104" i="6"/>
  <c r="CO119" i="6" s="1"/>
  <c r="M77" i="6"/>
  <c r="BI104" i="6"/>
  <c r="BI105" i="6" s="1"/>
  <c r="BQ103" i="6"/>
  <c r="BQ118" i="6" s="1"/>
  <c r="D104" i="6"/>
  <c r="D119" i="6" s="1"/>
  <c r="CO91" i="6"/>
  <c r="AE104" i="6"/>
  <c r="AE119" i="6" s="1"/>
  <c r="AH77" i="6"/>
  <c r="Z98" i="6"/>
  <c r="AP84" i="6"/>
  <c r="CC84" i="6"/>
  <c r="BU104" i="6"/>
  <c r="BU119" i="6" s="1"/>
  <c r="BU120" i="6" s="1"/>
  <c r="S104" i="6"/>
  <c r="S119" i="6" s="1"/>
  <c r="AB103" i="6"/>
  <c r="AB118" i="6" s="1"/>
  <c r="R103" i="6"/>
  <c r="R118" i="6" s="1"/>
  <c r="AO103" i="6"/>
  <c r="AO118" i="6" s="1"/>
  <c r="BR91" i="6"/>
  <c r="R84" i="6"/>
  <c r="BE91" i="6"/>
  <c r="AX84" i="6"/>
  <c r="BF84" i="6"/>
  <c r="I104" i="6"/>
  <c r="I119" i="6" s="1"/>
  <c r="I120" i="6" s="1"/>
  <c r="AB104" i="6"/>
  <c r="L91" i="6"/>
  <c r="L104" i="6"/>
  <c r="L119" i="6" s="1"/>
  <c r="P84" i="6"/>
  <c r="AX104" i="6"/>
  <c r="AX119" i="6" s="1"/>
  <c r="D91" i="6"/>
  <c r="AL84" i="6"/>
  <c r="AE84" i="6"/>
  <c r="BP84" i="6"/>
  <c r="AR104" i="6"/>
  <c r="AR119" i="6" s="1"/>
  <c r="N98" i="6"/>
  <c r="V104" i="6"/>
  <c r="V119" i="6" s="1"/>
  <c r="CC103" i="6"/>
  <c r="CC118" i="6" s="1"/>
  <c r="CP103" i="6"/>
  <c r="CP118" i="6" s="1"/>
  <c r="BF103" i="6"/>
  <c r="BF118" i="6" s="1"/>
  <c r="CI91" i="6"/>
  <c r="BK104" i="6"/>
  <c r="BK119" i="6" s="1"/>
  <c r="AK104" i="6"/>
  <c r="AK119" i="6" s="1"/>
  <c r="CJ103" i="6"/>
  <c r="CJ118" i="6" s="1"/>
  <c r="N103" i="6"/>
  <c r="N118" i="6" s="1"/>
  <c r="W236" i="6"/>
  <c r="W235" i="6"/>
  <c r="CA236" i="6"/>
  <c r="R235" i="6"/>
  <c r="BH234" i="6"/>
  <c r="R234" i="6"/>
  <c r="BH235" i="6"/>
  <c r="BC235" i="6"/>
  <c r="E234" i="6"/>
  <c r="E276" i="6" s="1"/>
  <c r="E235" i="6"/>
  <c r="E277" i="6" s="1"/>
  <c r="CC235" i="6"/>
  <c r="AF236" i="6"/>
  <c r="CN235" i="6"/>
  <c r="BE235" i="6"/>
  <c r="CN236" i="6"/>
  <c r="BX235" i="6"/>
  <c r="V235" i="6"/>
  <c r="CK234" i="6"/>
  <c r="BC234" i="6"/>
  <c r="BW234" i="6"/>
  <c r="CK236" i="6"/>
  <c r="BM234" i="6"/>
  <c r="BE234" i="6"/>
  <c r="CC234" i="6"/>
  <c r="BK236" i="6"/>
  <c r="M236" i="6"/>
  <c r="M234" i="6"/>
  <c r="AF234" i="6"/>
  <c r="F236" i="6"/>
  <c r="F278" i="6" s="1"/>
  <c r="BX234" i="6"/>
  <c r="BB235" i="6"/>
  <c r="BB236" i="6"/>
  <c r="V234" i="6"/>
  <c r="F234" i="6"/>
  <c r="F276" i="6" s="1"/>
  <c r="BW236" i="6"/>
  <c r="CF235" i="6"/>
  <c r="AB236" i="6"/>
  <c r="AS235" i="6"/>
  <c r="AR234" i="6"/>
  <c r="AB234" i="6"/>
  <c r="BK235" i="6"/>
  <c r="AS236" i="6"/>
  <c r="CF234" i="6"/>
  <c r="AE235" i="6"/>
  <c r="AR235" i="6"/>
  <c r="AE236" i="6"/>
  <c r="AK236" i="6"/>
  <c r="AO235" i="6"/>
  <c r="AP236" i="6"/>
  <c r="AK234" i="6"/>
  <c r="AR77" i="6"/>
  <c r="G104" i="6"/>
  <c r="G105" i="6" s="1"/>
  <c r="AX98" i="6"/>
  <c r="AB84" i="6"/>
  <c r="AJ104" i="6"/>
  <c r="AJ105" i="6" s="1"/>
  <c r="BF104" i="6"/>
  <c r="BF119" i="6" s="1"/>
  <c r="BJ104" i="6"/>
  <c r="BJ119" i="6" s="1"/>
  <c r="CO98" i="6"/>
  <c r="I77" i="6"/>
  <c r="L77" i="6"/>
  <c r="CP77" i="6"/>
  <c r="J98" i="6"/>
  <c r="K103" i="6"/>
  <c r="K118" i="6" s="1"/>
  <c r="AO91" i="6"/>
  <c r="BE84" i="6"/>
  <c r="CP91" i="6"/>
  <c r="S103" i="6"/>
  <c r="S118" i="6" s="1"/>
  <c r="BP98" i="6"/>
  <c r="AY91" i="6"/>
  <c r="P77" i="6"/>
  <c r="N104" i="6"/>
  <c r="BF77" i="6"/>
  <c r="V77" i="6"/>
  <c r="BS84" i="6"/>
  <c r="S98" i="6"/>
  <c r="AJ98" i="6"/>
  <c r="BT104" i="6"/>
  <c r="BT119" i="6" s="1"/>
  <c r="AK103" i="6"/>
  <c r="AK118" i="6" s="1"/>
  <c r="AK77" i="6"/>
  <c r="J103" i="6"/>
  <c r="J118" i="6" s="1"/>
  <c r="S84" i="6"/>
  <c r="CE103" i="6"/>
  <c r="CE118" i="6" s="1"/>
  <c r="BH103" i="6"/>
  <c r="BH118" i="6" s="1"/>
  <c r="AX103" i="6"/>
  <c r="AX118" i="6" s="1"/>
  <c r="BU235" i="6"/>
  <c r="CJ236" i="6"/>
  <c r="BU236" i="6"/>
  <c r="AO236" i="6"/>
  <c r="CI234" i="6"/>
  <c r="CI236" i="6"/>
  <c r="AY236" i="6"/>
  <c r="AP234" i="6"/>
  <c r="AY234" i="6"/>
  <c r="AJ234" i="6"/>
  <c r="AJ235" i="6"/>
  <c r="BO236" i="6"/>
  <c r="BO235" i="6"/>
  <c r="BY234" i="6"/>
  <c r="BY235" i="6"/>
  <c r="CO234" i="6"/>
  <c r="CO235" i="6"/>
  <c r="T235" i="6"/>
  <c r="T234" i="6"/>
  <c r="L234" i="6"/>
  <c r="L235" i="6"/>
  <c r="AH234" i="6"/>
  <c r="CJ234" i="6"/>
  <c r="S234" i="6"/>
  <c r="AH235" i="6"/>
  <c r="S235" i="6"/>
  <c r="AG103" i="6"/>
  <c r="AG118" i="6" s="1"/>
  <c r="O103" i="6"/>
  <c r="O118" i="6" s="1"/>
  <c r="K91" i="6"/>
  <c r="BP104" i="6"/>
  <c r="BP105" i="6" s="1"/>
  <c r="AC98" i="6"/>
  <c r="P98" i="6"/>
  <c r="J91" i="6"/>
  <c r="AT104" i="6"/>
  <c r="AT105" i="6" s="1"/>
  <c r="AG84" i="6"/>
  <c r="Q104" i="6"/>
  <c r="Q119" i="6" s="1"/>
  <c r="Q120" i="6" s="1"/>
  <c r="AB91" i="6"/>
  <c r="CA104" i="6"/>
  <c r="CA105" i="6" s="1"/>
  <c r="BS98" i="6"/>
  <c r="CI104" i="6"/>
  <c r="CI119" i="6" s="1"/>
  <c r="AA103" i="6"/>
  <c r="AA118" i="6" s="1"/>
  <c r="L98" i="6"/>
  <c r="BR84" i="6"/>
  <c r="U104" i="6"/>
  <c r="U119" i="6" s="1"/>
  <c r="U120" i="6" s="1"/>
  <c r="BH84" i="6"/>
  <c r="AZ103" i="6"/>
  <c r="AZ118" i="6" s="1"/>
  <c r="N84" i="6"/>
  <c r="CI84" i="6"/>
  <c r="BA103" i="6"/>
  <c r="BA118" i="6" s="1"/>
  <c r="BT77" i="6"/>
  <c r="AY104" i="6"/>
  <c r="AY119" i="6" s="1"/>
  <c r="AG104" i="6"/>
  <c r="AG119" i="6" s="1"/>
  <c r="CB104" i="6"/>
  <c r="CB119" i="6" s="1"/>
  <c r="CB120" i="6" s="1"/>
  <c r="CI98" i="6"/>
  <c r="Q91" i="6"/>
  <c r="BW104" i="6"/>
  <c r="BW119" i="6" s="1"/>
  <c r="BW120" i="6" s="1"/>
  <c r="AY98" i="6"/>
  <c r="CE84" i="6"/>
  <c r="J77" i="6"/>
  <c r="P104" i="6"/>
  <c r="P119" i="6" s="1"/>
  <c r="BC84" i="6"/>
  <c r="U77" i="6"/>
  <c r="AT91" i="6"/>
  <c r="BS104" i="6"/>
  <c r="BS119" i="6" s="1"/>
  <c r="AY84" i="6"/>
  <c r="CA84" i="6"/>
  <c r="N77" i="6"/>
  <c r="BT103" i="6"/>
  <c r="BT118" i="6" s="1"/>
  <c r="BS103" i="6"/>
  <c r="BS118" i="6" s="1"/>
  <c r="CH103" i="6"/>
  <c r="CH118" i="6" s="1"/>
  <c r="BR103" i="6"/>
  <c r="BR118" i="6" s="1"/>
  <c r="CI103" i="6"/>
  <c r="CI118" i="6" s="1"/>
  <c r="AS103" i="6"/>
  <c r="AS118" i="6" s="1"/>
  <c r="AS120" i="6" s="1"/>
  <c r="R104" i="6"/>
  <c r="AP104" i="6"/>
  <c r="AP119" i="6" s="1"/>
  <c r="BL104" i="6"/>
  <c r="BC98" i="6"/>
  <c r="F103" i="6"/>
  <c r="F118" i="6" s="1"/>
  <c r="BR98" i="6"/>
  <c r="AZ91" i="6"/>
  <c r="AE103" i="6"/>
  <c r="AE118" i="6" s="1"/>
  <c r="BY103" i="6"/>
  <c r="BY118" i="6" s="1"/>
  <c r="AN103" i="6"/>
  <c r="AN118" i="6" s="1"/>
  <c r="E103" i="6"/>
  <c r="E118" i="6" s="1"/>
  <c r="P103" i="6"/>
  <c r="P118" i="6" s="1"/>
  <c r="BA77" i="6"/>
  <c r="BY84" i="6"/>
  <c r="C61" i="6"/>
  <c r="Z103" i="6"/>
  <c r="Z118" i="6" s="1"/>
  <c r="W103" i="6"/>
  <c r="W118" i="6" s="1"/>
  <c r="AC84" i="6"/>
  <c r="BO103" i="6"/>
  <c r="BO118" i="6" s="1"/>
  <c r="CG104" i="6"/>
  <c r="CG119" i="6" s="1"/>
  <c r="CG120" i="6" s="1"/>
  <c r="E77" i="6"/>
  <c r="Y104" i="6"/>
  <c r="BS77" i="6"/>
  <c r="AY103" i="6"/>
  <c r="AY118" i="6" s="1"/>
  <c r="BC77" i="6"/>
  <c r="BU98" i="6"/>
  <c r="CP104" i="6"/>
  <c r="CP119" i="6" s="1"/>
  <c r="CC104" i="6"/>
  <c r="CC105" i="6" s="1"/>
  <c r="BZ104" i="6"/>
  <c r="BZ119" i="6" s="1"/>
  <c r="AU103" i="6"/>
  <c r="AU118" i="6" s="1"/>
  <c r="BC103" i="6"/>
  <c r="BC118" i="6" s="1"/>
  <c r="BG104" i="6"/>
  <c r="BM103" i="6"/>
  <c r="BM118" i="6" s="1"/>
  <c r="CP235" i="6"/>
  <c r="CP234" i="6"/>
  <c r="BS234" i="6"/>
  <c r="BS236" i="6"/>
  <c r="AC103" i="6"/>
  <c r="C111" i="6" s="1"/>
  <c r="BR104" i="6"/>
  <c r="BC104" i="6"/>
  <c r="BC119" i="6" s="1"/>
  <c r="BE104" i="6"/>
  <c r="BE105" i="6" s="1"/>
  <c r="V103" i="6"/>
  <c r="V118" i="6" s="1"/>
  <c r="CG77" i="6"/>
  <c r="CK103" i="6"/>
  <c r="CK118" i="6" s="1"/>
  <c r="CK120" i="6" s="1"/>
  <c r="AO104" i="6"/>
  <c r="AO119" i="6" s="1"/>
  <c r="BJ91" i="6"/>
  <c r="J104" i="6"/>
  <c r="J119" i="6" s="1"/>
  <c r="BZ98" i="6"/>
  <c r="W91" i="6"/>
  <c r="C107" i="6"/>
  <c r="AC104" i="6"/>
  <c r="AV105" i="6"/>
  <c r="AV119" i="6"/>
  <c r="AV120" i="6" s="1"/>
  <c r="AA119" i="6"/>
  <c r="CF119" i="6"/>
  <c r="CF120" i="6" s="1"/>
  <c r="CF105" i="6"/>
  <c r="BY119" i="6"/>
  <c r="CL119" i="6"/>
  <c r="AQ105" i="6"/>
  <c r="AQ119" i="6"/>
  <c r="AQ120" i="6" s="1"/>
  <c r="AL119" i="6"/>
  <c r="CH119" i="6"/>
  <c r="BN105" i="6"/>
  <c r="BN119" i="6"/>
  <c r="BN120" i="6" s="1"/>
  <c r="W119" i="6"/>
  <c r="AZ119" i="6"/>
  <c r="AI118" i="6"/>
  <c r="BD105" i="6"/>
  <c r="BD119" i="6"/>
  <c r="BD120" i="6" s="1"/>
  <c r="AD105" i="6"/>
  <c r="AD119" i="6"/>
  <c r="AD120" i="6" s="1"/>
  <c r="CD105" i="6"/>
  <c r="CD119" i="6"/>
  <c r="CD120" i="6" s="1"/>
  <c r="CM105" i="6"/>
  <c r="CM119" i="6"/>
  <c r="AU119" i="6"/>
  <c r="M119" i="6"/>
  <c r="K119" i="6"/>
  <c r="BV105" i="6"/>
  <c r="BV119" i="6"/>
  <c r="BV120" i="6" s="1"/>
  <c r="T118" i="6"/>
  <c r="AN119" i="6"/>
  <c r="BM119" i="6"/>
  <c r="O119" i="6"/>
  <c r="BA119" i="6"/>
  <c r="H105" i="6"/>
  <c r="H119" i="6"/>
  <c r="H120" i="6" s="1"/>
  <c r="BQ119" i="6"/>
  <c r="I260" i="6"/>
  <c r="H278" i="6"/>
  <c r="H277" i="6"/>
  <c r="H276" i="6"/>
  <c r="H7" i="4"/>
  <c r="E10" i="1"/>
  <c r="CM120" i="6" l="1"/>
  <c r="CM223" i="6" s="1"/>
  <c r="AI120" i="6"/>
  <c r="AI224" i="6" s="1"/>
  <c r="AR105" i="6"/>
  <c r="AR230" i="6" s="1"/>
  <c r="J120" i="6"/>
  <c r="J223" i="6" s="1"/>
  <c r="AW105" i="6"/>
  <c r="AW230" i="6" s="1"/>
  <c r="CN120" i="6"/>
  <c r="CN223" i="6" s="1"/>
  <c r="BG105" i="6"/>
  <c r="BG228" i="6" s="1"/>
  <c r="BO120" i="6"/>
  <c r="BO223" i="6" s="1"/>
  <c r="BU105" i="6"/>
  <c r="BU229" i="6" s="1"/>
  <c r="BB119" i="6"/>
  <c r="BB120" i="6" s="1"/>
  <c r="BB223" i="6" s="1"/>
  <c r="CL105" i="6"/>
  <c r="CL229" i="6" s="1"/>
  <c r="C108" i="6"/>
  <c r="C109" i="6" s="1"/>
  <c r="Q105" i="6"/>
  <c r="Q228" i="6" s="1"/>
  <c r="X119" i="6"/>
  <c r="X120" i="6" s="1"/>
  <c r="X223" i="6" s="1"/>
  <c r="D120" i="6"/>
  <c r="D223" i="6" s="1"/>
  <c r="D265" i="6" s="1"/>
  <c r="AI105" i="6"/>
  <c r="AI228" i="6" s="1"/>
  <c r="T105" i="6"/>
  <c r="T228" i="6" s="1"/>
  <c r="N119" i="6"/>
  <c r="N120" i="6" s="1"/>
  <c r="N224" i="6" s="1"/>
  <c r="AJ119" i="6"/>
  <c r="AJ120" i="6" s="1"/>
  <c r="AJ224" i="6" s="1"/>
  <c r="T120" i="6"/>
  <c r="T224" i="6" s="1"/>
  <c r="D105" i="6"/>
  <c r="D228" i="6" s="1"/>
  <c r="D270" i="6" s="1"/>
  <c r="Y105" i="6"/>
  <c r="Y228" i="6" s="1"/>
  <c r="AM119" i="6"/>
  <c r="AM120" i="6" s="1"/>
  <c r="AM224" i="6" s="1"/>
  <c r="U105" i="6"/>
  <c r="U228" i="6" s="1"/>
  <c r="BP119" i="6"/>
  <c r="Z120" i="6"/>
  <c r="Z223" i="6" s="1"/>
  <c r="I105" i="6"/>
  <c r="I228" i="6" s="1"/>
  <c r="I270" i="6" s="1"/>
  <c r="BK105" i="6"/>
  <c r="BK229" i="6" s="1"/>
  <c r="BX120" i="6"/>
  <c r="BX223" i="6" s="1"/>
  <c r="BX105" i="6"/>
  <c r="BX229" i="6" s="1"/>
  <c r="AL105" i="6"/>
  <c r="AL230" i="6" s="1"/>
  <c r="BK120" i="6"/>
  <c r="BK223" i="6" s="1"/>
  <c r="CN105" i="6"/>
  <c r="CN229" i="6" s="1"/>
  <c r="M120" i="6"/>
  <c r="M222" i="6" s="1"/>
  <c r="CJ105" i="6"/>
  <c r="CJ230" i="6" s="1"/>
  <c r="L120" i="6"/>
  <c r="L222" i="6" s="1"/>
  <c r="C122" i="6"/>
  <c r="BL105" i="6"/>
  <c r="BL229" i="6" s="1"/>
  <c r="AH120" i="6"/>
  <c r="AH223" i="6" s="1"/>
  <c r="AH105" i="6"/>
  <c r="AH230" i="6" s="1"/>
  <c r="BZ120" i="6"/>
  <c r="BZ223" i="6" s="1"/>
  <c r="R105" i="6"/>
  <c r="R228" i="6" s="1"/>
  <c r="CO105" i="6"/>
  <c r="CO230" i="6" s="1"/>
  <c r="K120" i="6"/>
  <c r="K223" i="6" s="1"/>
  <c r="BH105" i="6"/>
  <c r="BH228" i="6" s="1"/>
  <c r="L105" i="6"/>
  <c r="L228" i="6" s="1"/>
  <c r="K105" i="6"/>
  <c r="K228" i="6" s="1"/>
  <c r="S120" i="6"/>
  <c r="S224" i="6" s="1"/>
  <c r="CJ120" i="6"/>
  <c r="CJ224" i="6" s="1"/>
  <c r="CL120" i="6"/>
  <c r="CL222" i="6" s="1"/>
  <c r="M105" i="6"/>
  <c r="M230" i="6" s="1"/>
  <c r="N105" i="6"/>
  <c r="N228" i="6" s="1"/>
  <c r="AF118" i="6"/>
  <c r="AF120" i="6" s="1"/>
  <c r="AF222" i="6" s="1"/>
  <c r="AR120" i="6"/>
  <c r="AR222" i="6" s="1"/>
  <c r="AB105" i="6"/>
  <c r="AB229" i="6" s="1"/>
  <c r="AK120" i="6"/>
  <c r="AK222" i="6" s="1"/>
  <c r="BP120" i="6"/>
  <c r="BP224" i="6" s="1"/>
  <c r="CO118" i="6"/>
  <c r="CO120" i="6" s="1"/>
  <c r="CO224" i="6" s="1"/>
  <c r="BQ120" i="6"/>
  <c r="BQ222" i="6" s="1"/>
  <c r="AZ105" i="6"/>
  <c r="AZ229" i="6" s="1"/>
  <c r="AA105" i="6"/>
  <c r="AA229" i="6" s="1"/>
  <c r="BR105" i="6"/>
  <c r="BR228" i="6" s="1"/>
  <c r="BQ105" i="6"/>
  <c r="BQ230" i="6" s="1"/>
  <c r="CE120" i="6"/>
  <c r="CE222" i="6" s="1"/>
  <c r="AL120" i="6"/>
  <c r="AL224" i="6" s="1"/>
  <c r="AB119" i="6"/>
  <c r="AB120" i="6" s="1"/>
  <c r="AB222" i="6" s="1"/>
  <c r="E105" i="6"/>
  <c r="E228" i="6" s="1"/>
  <c r="E270" i="6" s="1"/>
  <c r="BF105" i="6"/>
  <c r="BF230" i="6" s="1"/>
  <c r="BT105" i="6"/>
  <c r="BT229" i="6" s="1"/>
  <c r="BI119" i="6"/>
  <c r="BI120" i="6" s="1"/>
  <c r="BI222" i="6" s="1"/>
  <c r="BJ120" i="6"/>
  <c r="BJ223" i="6" s="1"/>
  <c r="G119" i="6"/>
  <c r="G120" i="6" s="1"/>
  <c r="G222" i="6" s="1"/>
  <c r="G264" i="6" s="1"/>
  <c r="BS120" i="6"/>
  <c r="BS222" i="6" s="1"/>
  <c r="CE105" i="6"/>
  <c r="CE229" i="6" s="1"/>
  <c r="CP120" i="6"/>
  <c r="CP222" i="6" s="1"/>
  <c r="AG120" i="6"/>
  <c r="AG224" i="6" s="1"/>
  <c r="BF120" i="6"/>
  <c r="BF223" i="6" s="1"/>
  <c r="BJ105" i="6"/>
  <c r="BJ230" i="6" s="1"/>
  <c r="CG105" i="6"/>
  <c r="CG228" i="6" s="1"/>
  <c r="CB105" i="6"/>
  <c r="CB229" i="6" s="1"/>
  <c r="AT119" i="6"/>
  <c r="AT120" i="6" s="1"/>
  <c r="AT222" i="6" s="1"/>
  <c r="O120" i="6"/>
  <c r="O222" i="6" s="1"/>
  <c r="O105" i="6"/>
  <c r="O228" i="6" s="1"/>
  <c r="S105" i="6"/>
  <c r="S228" i="6" s="1"/>
  <c r="AK105" i="6"/>
  <c r="AK230" i="6" s="1"/>
  <c r="BH120" i="6"/>
  <c r="BH223" i="6" s="1"/>
  <c r="BT120" i="6"/>
  <c r="BT223" i="6" s="1"/>
  <c r="BW105" i="6"/>
  <c r="BW230" i="6" s="1"/>
  <c r="CA119" i="6"/>
  <c r="CA120" i="6" s="1"/>
  <c r="CA223" i="6" s="1"/>
  <c r="BS105" i="6"/>
  <c r="BS228" i="6" s="1"/>
  <c r="AX120" i="6"/>
  <c r="AX223" i="6" s="1"/>
  <c r="AE105" i="6"/>
  <c r="AE229" i="6" s="1"/>
  <c r="AX105" i="6"/>
  <c r="AX229" i="6" s="1"/>
  <c r="BZ105" i="6"/>
  <c r="BZ228" i="6" s="1"/>
  <c r="AA120" i="6"/>
  <c r="AA224" i="6" s="1"/>
  <c r="AE120" i="6"/>
  <c r="AE222" i="6" s="1"/>
  <c r="AG105" i="6"/>
  <c r="AG230" i="6" s="1"/>
  <c r="CH105" i="6"/>
  <c r="CH228" i="6" s="1"/>
  <c r="F120" i="6"/>
  <c r="F223" i="6" s="1"/>
  <c r="F265" i="6" s="1"/>
  <c r="BA120" i="6"/>
  <c r="BA222" i="6" s="1"/>
  <c r="BA105" i="6"/>
  <c r="BA229" i="6" s="1"/>
  <c r="F105" i="6"/>
  <c r="F228" i="6" s="1"/>
  <c r="F270" i="6" s="1"/>
  <c r="CH120" i="6"/>
  <c r="CH222" i="6" s="1"/>
  <c r="AP105" i="6"/>
  <c r="AP228" i="6" s="1"/>
  <c r="AZ120" i="6"/>
  <c r="AZ224" i="6" s="1"/>
  <c r="BL119" i="6"/>
  <c r="BL120" i="6" s="1"/>
  <c r="BL224" i="6" s="1"/>
  <c r="R119" i="6"/>
  <c r="R120" i="6" s="1"/>
  <c r="R222" i="6" s="1"/>
  <c r="CI120" i="6"/>
  <c r="CI222" i="6" s="1"/>
  <c r="CI105" i="6"/>
  <c r="CI228" i="6" s="1"/>
  <c r="BY120" i="6"/>
  <c r="BY224" i="6" s="1"/>
  <c r="AY105" i="6"/>
  <c r="AY229" i="6" s="1"/>
  <c r="AS105" i="6"/>
  <c r="AS230" i="6" s="1"/>
  <c r="W120" i="6"/>
  <c r="W222" i="6" s="1"/>
  <c r="J105" i="6"/>
  <c r="J229" i="6" s="1"/>
  <c r="AO120" i="6"/>
  <c r="AO224" i="6" s="1"/>
  <c r="AP120" i="6"/>
  <c r="AP224" i="6" s="1"/>
  <c r="AO105" i="6"/>
  <c r="AO228" i="6" s="1"/>
  <c r="P120" i="6"/>
  <c r="P222" i="6" s="1"/>
  <c r="P105" i="6"/>
  <c r="P228" i="6" s="1"/>
  <c r="W105" i="6"/>
  <c r="W228" i="6" s="1"/>
  <c r="BY105" i="6"/>
  <c r="BY229" i="6" s="1"/>
  <c r="AN120" i="6"/>
  <c r="AN222" i="6" s="1"/>
  <c r="BO105" i="6"/>
  <c r="BO228" i="6" s="1"/>
  <c r="AN105" i="6"/>
  <c r="AN228" i="6" s="1"/>
  <c r="E120" i="6"/>
  <c r="E224" i="6" s="1"/>
  <c r="E266" i="6" s="1"/>
  <c r="Z105" i="6"/>
  <c r="Z228" i="6" s="1"/>
  <c r="CK105" i="6"/>
  <c r="CK230" i="6" s="1"/>
  <c r="AY120" i="6"/>
  <c r="AY222" i="6" s="1"/>
  <c r="BC120" i="6"/>
  <c r="BC224" i="6" s="1"/>
  <c r="BM120" i="6"/>
  <c r="BM222" i="6" s="1"/>
  <c r="Y119" i="6"/>
  <c r="Y120" i="6" s="1"/>
  <c r="Y224" i="6" s="1"/>
  <c r="BG119" i="6"/>
  <c r="BG120" i="6" s="1"/>
  <c r="BG222" i="6" s="1"/>
  <c r="AU120" i="6"/>
  <c r="AU223" i="6" s="1"/>
  <c r="CP105" i="6"/>
  <c r="BC105" i="6"/>
  <c r="BC229" i="6" s="1"/>
  <c r="CC119" i="6"/>
  <c r="CC120" i="6" s="1"/>
  <c r="CC224" i="6" s="1"/>
  <c r="AU105" i="6"/>
  <c r="AU228" i="6" s="1"/>
  <c r="V120" i="6"/>
  <c r="V222" i="6" s="1"/>
  <c r="BM105" i="6"/>
  <c r="BM228" i="6" s="1"/>
  <c r="BR119" i="6"/>
  <c r="BR120" i="6" s="1"/>
  <c r="BR223" i="6" s="1"/>
  <c r="AC119" i="6"/>
  <c r="C127" i="6" s="1"/>
  <c r="C112" i="6"/>
  <c r="C113" i="6" s="1"/>
  <c r="BE119" i="6"/>
  <c r="BE120" i="6" s="1"/>
  <c r="BE222" i="6" s="1"/>
  <c r="AC118" i="6"/>
  <c r="C126" i="6" s="1"/>
  <c r="V105" i="6"/>
  <c r="V230" i="6" s="1"/>
  <c r="C123" i="6"/>
  <c r="AC105" i="6"/>
  <c r="AC228" i="6" s="1"/>
  <c r="CF230" i="6"/>
  <c r="CF228" i="6"/>
  <c r="CF229" i="6"/>
  <c r="AV224" i="6"/>
  <c r="AV222" i="6"/>
  <c r="AV223" i="6"/>
  <c r="CF223" i="6"/>
  <c r="CF224" i="6"/>
  <c r="CF222" i="6"/>
  <c r="AV229" i="6"/>
  <c r="AV230" i="6"/>
  <c r="AV228" i="6"/>
  <c r="H223" i="6"/>
  <c r="H265" i="6" s="1"/>
  <c r="H222" i="6"/>
  <c r="H264" i="6" s="1"/>
  <c r="H224" i="6"/>
  <c r="H266" i="6" s="1"/>
  <c r="CB224" i="6"/>
  <c r="CB223" i="6"/>
  <c r="CB222" i="6"/>
  <c r="BV228" i="6"/>
  <c r="BV230" i="6"/>
  <c r="BV229" i="6"/>
  <c r="BP228" i="6"/>
  <c r="BP229" i="6"/>
  <c r="BP230" i="6"/>
  <c r="CM224" i="6"/>
  <c r="CM222" i="6"/>
  <c r="AD223" i="6"/>
  <c r="AD222" i="6"/>
  <c r="AD224" i="6"/>
  <c r="CK224" i="6"/>
  <c r="CK222" i="6"/>
  <c r="CK223" i="6"/>
  <c r="BN223" i="6"/>
  <c r="BN224" i="6"/>
  <c r="BN222" i="6"/>
  <c r="AQ224" i="6"/>
  <c r="AQ222" i="6"/>
  <c r="AQ223" i="6"/>
  <c r="BD222" i="6"/>
  <c r="BD223" i="6"/>
  <c r="BD224" i="6"/>
  <c r="AT228" i="6"/>
  <c r="AT229" i="6"/>
  <c r="AT230" i="6"/>
  <c r="AW224" i="6"/>
  <c r="AW223" i="6"/>
  <c r="AW222" i="6"/>
  <c r="U222" i="6"/>
  <c r="U223" i="6"/>
  <c r="U224" i="6"/>
  <c r="AS224" i="6"/>
  <c r="AS222" i="6"/>
  <c r="AS223" i="6"/>
  <c r="CD228" i="6"/>
  <c r="CD229" i="6"/>
  <c r="CD230" i="6"/>
  <c r="BW224" i="6"/>
  <c r="BW222" i="6"/>
  <c r="BW223" i="6"/>
  <c r="BD229" i="6"/>
  <c r="BD230" i="6"/>
  <c r="BD228" i="6"/>
  <c r="I222" i="6"/>
  <c r="I264" i="6" s="1"/>
  <c r="I224" i="6"/>
  <c r="I266" i="6" s="1"/>
  <c r="I223" i="6"/>
  <c r="I265" i="6" s="1"/>
  <c r="AM228" i="6"/>
  <c r="AM230" i="6"/>
  <c r="AM229" i="6"/>
  <c r="H228" i="6"/>
  <c r="H270" i="6" s="1"/>
  <c r="H229" i="6"/>
  <c r="H271" i="6" s="1"/>
  <c r="H230" i="6"/>
  <c r="H272" i="6" s="1"/>
  <c r="BU224" i="6"/>
  <c r="BU222" i="6"/>
  <c r="BU223" i="6"/>
  <c r="CM228" i="6"/>
  <c r="CM229" i="6"/>
  <c r="CM230" i="6"/>
  <c r="CD223" i="6"/>
  <c r="CD224" i="6"/>
  <c r="CD222" i="6"/>
  <c r="CA228" i="6"/>
  <c r="CA230" i="6"/>
  <c r="CA229" i="6"/>
  <c r="AD228" i="6"/>
  <c r="AD230" i="6"/>
  <c r="AD229" i="6"/>
  <c r="Q222" i="6"/>
  <c r="Q223" i="6"/>
  <c r="Q224" i="6"/>
  <c r="BN228" i="6"/>
  <c r="BN229" i="6"/>
  <c r="BN230" i="6"/>
  <c r="AQ228" i="6"/>
  <c r="AQ229" i="6"/>
  <c r="AQ230" i="6"/>
  <c r="CC228" i="6"/>
  <c r="CC229" i="6"/>
  <c r="CC230" i="6"/>
  <c r="BV223" i="6"/>
  <c r="BV224" i="6"/>
  <c r="BV222" i="6"/>
  <c r="G228" i="6"/>
  <c r="G270" i="6" s="1"/>
  <c r="G230" i="6"/>
  <c r="G272" i="6" s="1"/>
  <c r="G229" i="6"/>
  <c r="G271" i="6" s="1"/>
  <c r="BI228" i="6"/>
  <c r="BI229" i="6"/>
  <c r="BI230" i="6"/>
  <c r="X229" i="6"/>
  <c r="X228" i="6"/>
  <c r="X230" i="6"/>
  <c r="BE229" i="6"/>
  <c r="BE230" i="6"/>
  <c r="BE228" i="6"/>
  <c r="CG222" i="6"/>
  <c r="CG223" i="6"/>
  <c r="CG224" i="6"/>
  <c r="BB228" i="6"/>
  <c r="BB229" i="6"/>
  <c r="BB230" i="6"/>
  <c r="AF228" i="6"/>
  <c r="AF229" i="6"/>
  <c r="AF230" i="6"/>
  <c r="AJ228" i="6"/>
  <c r="AJ229" i="6"/>
  <c r="AJ230" i="6"/>
  <c r="J260" i="6"/>
  <c r="I276" i="6"/>
  <c r="I277" i="6"/>
  <c r="I278" i="6"/>
  <c r="E4" i="1"/>
  <c r="J224" i="6" l="1"/>
  <c r="AI223" i="6"/>
  <c r="AI222" i="6"/>
  <c r="CN222" i="6"/>
  <c r="AR228" i="6"/>
  <c r="AW228" i="6"/>
  <c r="AR229" i="6"/>
  <c r="BG230" i="6"/>
  <c r="AW229" i="6"/>
  <c r="BG229" i="6"/>
  <c r="J222" i="6"/>
  <c r="J264" i="6" s="1"/>
  <c r="BO222" i="6"/>
  <c r="D224" i="6"/>
  <c r="D266" i="6" s="1"/>
  <c r="D222" i="6"/>
  <c r="D264" i="6" s="1"/>
  <c r="BO224" i="6"/>
  <c r="CN224" i="6"/>
  <c r="BU230" i="6"/>
  <c r="CL228" i="6"/>
  <c r="CL230" i="6"/>
  <c r="BU228" i="6"/>
  <c r="Q230" i="6"/>
  <c r="Q229" i="6"/>
  <c r="D229" i="6"/>
  <c r="D271" i="6" s="1"/>
  <c r="BB222" i="6"/>
  <c r="BB224" i="6"/>
  <c r="T230" i="6"/>
  <c r="AJ223" i="6"/>
  <c r="X222" i="6"/>
  <c r="X224" i="6"/>
  <c r="Y230" i="6"/>
  <c r="D230" i="6"/>
  <c r="D272" i="6" s="1"/>
  <c r="T229" i="6"/>
  <c r="Y229" i="6"/>
  <c r="BK228" i="6"/>
  <c r="AI230" i="6"/>
  <c r="U229" i="6"/>
  <c r="CE223" i="6"/>
  <c r="BK224" i="6"/>
  <c r="T222" i="6"/>
  <c r="AI229" i="6"/>
  <c r="BK222" i="6"/>
  <c r="L224" i="6"/>
  <c r="N229" i="6"/>
  <c r="T223" i="6"/>
  <c r="K222" i="6"/>
  <c r="AJ222" i="6"/>
  <c r="AM223" i="6"/>
  <c r="AM222" i="6"/>
  <c r="AH229" i="6"/>
  <c r="BK230" i="6"/>
  <c r="U230" i="6"/>
  <c r="K224" i="6"/>
  <c r="CN228" i="6"/>
  <c r="S223" i="6"/>
  <c r="AK224" i="6"/>
  <c r="AH228" i="6"/>
  <c r="N230" i="6"/>
  <c r="BX222" i="6"/>
  <c r="CL223" i="6"/>
  <c r="AA228" i="6"/>
  <c r="Z222" i="6"/>
  <c r="BL228" i="6"/>
  <c r="Z224" i="6"/>
  <c r="M224" i="6"/>
  <c r="R230" i="6"/>
  <c r="I230" i="6"/>
  <c r="I272" i="6" s="1"/>
  <c r="I229" i="6"/>
  <c r="I271" i="6" s="1"/>
  <c r="M223" i="6"/>
  <c r="BX228" i="6"/>
  <c r="L230" i="6"/>
  <c r="BX224" i="6"/>
  <c r="BR229" i="6"/>
  <c r="BL230" i="6"/>
  <c r="L229" i="6"/>
  <c r="AR224" i="6"/>
  <c r="BX230" i="6"/>
  <c r="R229" i="6"/>
  <c r="CE230" i="6"/>
  <c r="AB224" i="6"/>
  <c r="CL224" i="6"/>
  <c r="AL228" i="6"/>
  <c r="AH222" i="6"/>
  <c r="CJ229" i="6"/>
  <c r="AH224" i="6"/>
  <c r="CJ228" i="6"/>
  <c r="E229" i="6"/>
  <c r="E271" i="6" s="1"/>
  <c r="AL229" i="6"/>
  <c r="CO229" i="6"/>
  <c r="BQ224" i="6"/>
  <c r="CO228" i="6"/>
  <c r="AB228" i="6"/>
  <c r="BH230" i="6"/>
  <c r="CN230" i="6"/>
  <c r="CJ223" i="6"/>
  <c r="CB228" i="6"/>
  <c r="BF228" i="6"/>
  <c r="S222" i="6"/>
  <c r="G224" i="6"/>
  <c r="G266" i="6" s="1"/>
  <c r="CE224" i="6"/>
  <c r="L223" i="6"/>
  <c r="AZ228" i="6"/>
  <c r="AK223" i="6"/>
  <c r="AG223" i="6"/>
  <c r="BQ228" i="6"/>
  <c r="AF223" i="6"/>
  <c r="C124" i="6"/>
  <c r="M229" i="6"/>
  <c r="BZ224" i="6"/>
  <c r="BH229" i="6"/>
  <c r="CJ222" i="6"/>
  <c r="AL223" i="6"/>
  <c r="BZ222" i="6"/>
  <c r="BF222" i="6"/>
  <c r="AF224" i="6"/>
  <c r="BP222" i="6"/>
  <c r="AT223" i="6"/>
  <c r="E230" i="6"/>
  <c r="E272" i="6" s="1"/>
  <c r="K229" i="6"/>
  <c r="BT222" i="6"/>
  <c r="BJ222" i="6"/>
  <c r="M228" i="6"/>
  <c r="BQ223" i="6"/>
  <c r="BQ229" i="6"/>
  <c r="K230" i="6"/>
  <c r="BJ224" i="6"/>
  <c r="AB230" i="6"/>
  <c r="BI224" i="6"/>
  <c r="BR230" i="6"/>
  <c r="AR223" i="6"/>
  <c r="CO223" i="6"/>
  <c r="AB223" i="6"/>
  <c r="CO222" i="6"/>
  <c r="O223" i="6"/>
  <c r="CE228" i="6"/>
  <c r="O224" i="6"/>
  <c r="BW228" i="6"/>
  <c r="BT228" i="6"/>
  <c r="CB230" i="6"/>
  <c r="BF229" i="6"/>
  <c r="G223" i="6"/>
  <c r="G265" i="6" s="1"/>
  <c r="AL222" i="6"/>
  <c r="AZ230" i="6"/>
  <c r="AA230" i="6"/>
  <c r="BS224" i="6"/>
  <c r="BF224" i="6"/>
  <c r="BP223" i="6"/>
  <c r="AO230" i="6"/>
  <c r="BT230" i="6"/>
  <c r="BI223" i="6"/>
  <c r="BJ229" i="6"/>
  <c r="AX228" i="6"/>
  <c r="AK228" i="6"/>
  <c r="BS230" i="6"/>
  <c r="CP224" i="6"/>
  <c r="BH224" i="6"/>
  <c r="BS223" i="6"/>
  <c r="AT224" i="6"/>
  <c r="CA222" i="6"/>
  <c r="CH224" i="6"/>
  <c r="S229" i="6"/>
  <c r="BZ230" i="6"/>
  <c r="AG222" i="6"/>
  <c r="BA223" i="6"/>
  <c r="CG229" i="6"/>
  <c r="BJ228" i="6"/>
  <c r="CG230" i="6"/>
  <c r="O230" i="6"/>
  <c r="BT224" i="6"/>
  <c r="CP223" i="6"/>
  <c r="O229" i="6"/>
  <c r="BH222" i="6"/>
  <c r="AE230" i="6"/>
  <c r="BW229" i="6"/>
  <c r="AE228" i="6"/>
  <c r="AX222" i="6"/>
  <c r="BS229" i="6"/>
  <c r="S230" i="6"/>
  <c r="AX224" i="6"/>
  <c r="AG228" i="6"/>
  <c r="AX230" i="6"/>
  <c r="AG229" i="6"/>
  <c r="CA224" i="6"/>
  <c r="AE224" i="6"/>
  <c r="AK229" i="6"/>
  <c r="BZ229" i="6"/>
  <c r="BY223" i="6"/>
  <c r="BY222" i="6"/>
  <c r="F230" i="6"/>
  <c r="F272" i="6" s="1"/>
  <c r="CH223" i="6"/>
  <c r="F229" i="6"/>
  <c r="F271" i="6" s="1"/>
  <c r="AP229" i="6"/>
  <c r="AY228" i="6"/>
  <c r="AP230" i="6"/>
  <c r="AA222" i="6"/>
  <c r="AE223" i="6"/>
  <c r="CH230" i="6"/>
  <c r="AA223" i="6"/>
  <c r="CH229" i="6"/>
  <c r="BA230" i="6"/>
  <c r="F222" i="6"/>
  <c r="F264" i="6" s="1"/>
  <c r="BA228" i="6"/>
  <c r="F224" i="6"/>
  <c r="F266" i="6" s="1"/>
  <c r="R224" i="6"/>
  <c r="CI230" i="6"/>
  <c r="CI224" i="6"/>
  <c r="R223" i="6"/>
  <c r="AO229" i="6"/>
  <c r="CI229" i="6"/>
  <c r="E223" i="6"/>
  <c r="E265" i="6" s="1"/>
  <c r="BL222" i="6"/>
  <c r="BL223" i="6"/>
  <c r="BA224" i="6"/>
  <c r="AS229" i="6"/>
  <c r="AZ223" i="6"/>
  <c r="AS228" i="6"/>
  <c r="AZ222" i="6"/>
  <c r="CK229" i="6"/>
  <c r="J228" i="6"/>
  <c r="J270" i="6" s="1"/>
  <c r="W223" i="6"/>
  <c r="BY228" i="6"/>
  <c r="W224" i="6"/>
  <c r="W229" i="6"/>
  <c r="P223" i="6"/>
  <c r="P230" i="6"/>
  <c r="Y222" i="6"/>
  <c r="AY230" i="6"/>
  <c r="W230" i="6"/>
  <c r="P224" i="6"/>
  <c r="AP222" i="6"/>
  <c r="J230" i="6"/>
  <c r="J272" i="6" s="1"/>
  <c r="AP223" i="6"/>
  <c r="AO223" i="6"/>
  <c r="CI223" i="6"/>
  <c r="AU230" i="6"/>
  <c r="AO222" i="6"/>
  <c r="P229" i="6"/>
  <c r="AU224" i="6"/>
  <c r="BG223" i="6"/>
  <c r="Z230" i="6"/>
  <c r="BY230" i="6"/>
  <c r="Z229" i="6"/>
  <c r="Y223" i="6"/>
  <c r="BO230" i="6"/>
  <c r="AN230" i="6"/>
  <c r="V223" i="6"/>
  <c r="AN224" i="6"/>
  <c r="E222" i="6"/>
  <c r="E264" i="6" s="1"/>
  <c r="AN229" i="6"/>
  <c r="AN223" i="6"/>
  <c r="CC222" i="6"/>
  <c r="BO229" i="6"/>
  <c r="CK228" i="6"/>
  <c r="CC223" i="6"/>
  <c r="N223" i="6"/>
  <c r="BM223" i="6"/>
  <c r="AY223" i="6"/>
  <c r="BC223" i="6"/>
  <c r="BM224" i="6"/>
  <c r="AY224" i="6"/>
  <c r="BC222" i="6"/>
  <c r="BE224" i="6"/>
  <c r="BC228" i="6"/>
  <c r="BC230" i="6"/>
  <c r="AU222" i="6"/>
  <c r="BG224" i="6"/>
  <c r="BR224" i="6"/>
  <c r="AC230" i="6"/>
  <c r="V229" i="6"/>
  <c r="AU229" i="6"/>
  <c r="AC229" i="6"/>
  <c r="V228" i="6"/>
  <c r="BM230" i="6"/>
  <c r="V224" i="6"/>
  <c r="BM229" i="6"/>
  <c r="BE223" i="6"/>
  <c r="CP230" i="6"/>
  <c r="CP228" i="6"/>
  <c r="CP229" i="6"/>
  <c r="N222" i="6"/>
  <c r="C128" i="6"/>
  <c r="AC120" i="6"/>
  <c r="BR222" i="6"/>
  <c r="K260" i="6"/>
  <c r="J277" i="6"/>
  <c r="J278" i="6"/>
  <c r="J271" i="6"/>
  <c r="J276" i="6"/>
  <c r="J265" i="6"/>
  <c r="J266" i="6"/>
  <c r="H11" i="4"/>
  <c r="F12" i="4"/>
  <c r="E11" i="4"/>
  <c r="E12" i="4"/>
  <c r="H31" i="1"/>
  <c r="AC224" i="6" l="1"/>
  <c r="AC222" i="6"/>
  <c r="AC223" i="6"/>
  <c r="L260" i="6"/>
  <c r="K278" i="6"/>
  <c r="K277" i="6"/>
  <c r="K276" i="6"/>
  <c r="K272" i="6"/>
  <c r="K270" i="6"/>
  <c r="K265" i="6"/>
  <c r="K271" i="6"/>
  <c r="K266" i="6"/>
  <c r="K264" i="6"/>
  <c r="G12" i="4"/>
  <c r="I12" i="4"/>
  <c r="I11" i="4"/>
  <c r="G11" i="4"/>
  <c r="H12" i="4"/>
  <c r="J12" i="4"/>
  <c r="M260" i="6" l="1"/>
  <c r="L277" i="6"/>
  <c r="L276" i="6"/>
  <c r="L272" i="6"/>
  <c r="L266" i="6"/>
  <c r="L278" i="6"/>
  <c r="L271" i="6"/>
  <c r="L270" i="6"/>
  <c r="L265" i="6"/>
  <c r="L264" i="6"/>
  <c r="F11" i="4"/>
  <c r="J11" i="4"/>
  <c r="N260" i="6" l="1"/>
  <c r="M276" i="6"/>
  <c r="M277" i="6"/>
  <c r="M270" i="6"/>
  <c r="M278" i="6"/>
  <c r="M271" i="6"/>
  <c r="M264" i="6"/>
  <c r="M266" i="6"/>
  <c r="M272" i="6"/>
  <c r="M265" i="6"/>
  <c r="O260" i="6" l="1"/>
  <c r="N277" i="6"/>
  <c r="N278" i="6"/>
  <c r="N271" i="6"/>
  <c r="N272" i="6"/>
  <c r="N264" i="6"/>
  <c r="N270" i="6"/>
  <c r="N265" i="6"/>
  <c r="N276" i="6"/>
  <c r="N266" i="6"/>
  <c r="P260" i="6" l="1"/>
  <c r="O278" i="6"/>
  <c r="O272" i="6"/>
  <c r="O276" i="6"/>
  <c r="O271" i="6"/>
  <c r="O265" i="6"/>
  <c r="O270" i="6"/>
  <c r="O266" i="6"/>
  <c r="O264" i="6"/>
  <c r="O277" i="6"/>
  <c r="Q260" i="6" l="1"/>
  <c r="P278" i="6"/>
  <c r="P276" i="6"/>
  <c r="P277" i="6"/>
  <c r="P270" i="6"/>
  <c r="P266" i="6"/>
  <c r="P272" i="6"/>
  <c r="P265" i="6"/>
  <c r="P271" i="6"/>
  <c r="P264" i="6"/>
  <c r="R260" i="6" l="1"/>
  <c r="Q276" i="6"/>
  <c r="Q277" i="6"/>
  <c r="Q270" i="6"/>
  <c r="Q271" i="6"/>
  <c r="Q278" i="6"/>
  <c r="Q272" i="6"/>
  <c r="Q264" i="6"/>
  <c r="Q266" i="6"/>
  <c r="Q265" i="6"/>
  <c r="S260" i="6" l="1"/>
  <c r="R277" i="6"/>
  <c r="R278" i="6"/>
  <c r="R271" i="6"/>
  <c r="R272" i="6"/>
  <c r="R264" i="6"/>
  <c r="R276" i="6"/>
  <c r="R265" i="6"/>
  <c r="R266" i="6"/>
  <c r="R270" i="6"/>
  <c r="T260" i="6" l="1"/>
  <c r="S278" i="6"/>
  <c r="S277" i="6"/>
  <c r="S272" i="6"/>
  <c r="S265" i="6"/>
  <c r="S276" i="6"/>
  <c r="S266" i="6"/>
  <c r="S271" i="6"/>
  <c r="S270" i="6"/>
  <c r="S264" i="6"/>
  <c r="U260" i="6" l="1"/>
  <c r="T276" i="6"/>
  <c r="T272" i="6"/>
  <c r="T266" i="6"/>
  <c r="T277" i="6"/>
  <c r="T271" i="6"/>
  <c r="T270" i="6"/>
  <c r="T265" i="6"/>
  <c r="T264" i="6"/>
  <c r="T278" i="6"/>
  <c r="V260" i="6" l="1"/>
  <c r="U276" i="6"/>
  <c r="U277" i="6"/>
  <c r="U270" i="6"/>
  <c r="U278" i="6"/>
  <c r="U271" i="6"/>
  <c r="U264" i="6"/>
  <c r="U266" i="6"/>
  <c r="U272" i="6"/>
  <c r="U265" i="6"/>
  <c r="W260" i="6" l="1"/>
  <c r="V277" i="6"/>
  <c r="V278" i="6"/>
  <c r="V276" i="6"/>
  <c r="V271" i="6"/>
  <c r="V272" i="6"/>
  <c r="V270" i="6"/>
  <c r="V264" i="6"/>
  <c r="V265" i="6"/>
  <c r="V266" i="6"/>
  <c r="X260" i="6" l="1"/>
  <c r="W278" i="6"/>
  <c r="W272" i="6"/>
  <c r="W276" i="6"/>
  <c r="W271" i="6"/>
  <c r="W265" i="6"/>
  <c r="W277" i="6"/>
  <c r="W266" i="6"/>
  <c r="W270" i="6"/>
  <c r="W264" i="6"/>
  <c r="Y260" i="6" l="1"/>
  <c r="X276" i="6"/>
  <c r="X278" i="6"/>
  <c r="X277" i="6"/>
  <c r="X266" i="6"/>
  <c r="X270" i="6"/>
  <c r="X272" i="6"/>
  <c r="X271" i="6"/>
  <c r="X265" i="6"/>
  <c r="X264" i="6"/>
  <c r="Z260" i="6" l="1"/>
  <c r="Y276" i="6"/>
  <c r="Y277" i="6"/>
  <c r="Y270" i="6"/>
  <c r="Y271" i="6"/>
  <c r="Y278" i="6"/>
  <c r="Y272" i="6"/>
  <c r="Y264" i="6"/>
  <c r="Y266" i="6"/>
  <c r="Y265" i="6"/>
  <c r="AA260" i="6" l="1"/>
  <c r="Z277" i="6"/>
  <c r="Z278" i="6"/>
  <c r="Z271" i="6"/>
  <c r="Z272" i="6"/>
  <c r="Z264" i="6"/>
  <c r="Z270" i="6"/>
  <c r="Z265" i="6"/>
  <c r="Z276" i="6"/>
  <c r="Z266" i="6"/>
  <c r="AB260" i="6" l="1"/>
  <c r="AA278" i="6"/>
  <c r="AA277" i="6"/>
  <c r="AA272" i="6"/>
  <c r="AA276" i="6"/>
  <c r="AA270" i="6"/>
  <c r="AA265" i="6"/>
  <c r="AA271" i="6"/>
  <c r="AA266" i="6"/>
  <c r="AA264" i="6"/>
  <c r="AC260" i="6" l="1"/>
  <c r="AB272" i="6"/>
  <c r="AB276" i="6"/>
  <c r="AB277" i="6"/>
  <c r="AB266" i="6"/>
  <c r="AB278" i="6"/>
  <c r="AB271" i="6"/>
  <c r="AB265" i="6"/>
  <c r="AB264" i="6"/>
  <c r="AB270" i="6"/>
  <c r="AD260" i="6" l="1"/>
  <c r="AC276" i="6"/>
  <c r="AC277" i="6"/>
  <c r="AC270" i="6"/>
  <c r="AC278" i="6"/>
  <c r="AC271" i="6"/>
  <c r="AC272" i="6"/>
  <c r="AC264" i="6"/>
  <c r="AC266" i="6"/>
  <c r="AC265" i="6"/>
  <c r="AE260" i="6" l="1"/>
  <c r="AD277" i="6"/>
  <c r="AD278" i="6"/>
  <c r="AD276" i="6"/>
  <c r="AD271" i="6"/>
  <c r="AD264" i="6"/>
  <c r="AD265" i="6"/>
  <c r="AD270" i="6"/>
  <c r="AD272" i="6"/>
  <c r="AD266" i="6"/>
  <c r="AF260" i="6" l="1"/>
  <c r="AE278" i="6"/>
  <c r="AE272" i="6"/>
  <c r="AE271" i="6"/>
  <c r="AE265" i="6"/>
  <c r="AE276" i="6"/>
  <c r="AE270" i="6"/>
  <c r="AE266" i="6"/>
  <c r="AE277" i="6"/>
  <c r="AE264" i="6"/>
  <c r="AG260" i="6" l="1"/>
  <c r="AF272" i="6"/>
  <c r="AF276" i="6"/>
  <c r="AF278" i="6"/>
  <c r="AF277" i="6"/>
  <c r="AF270" i="6"/>
  <c r="AF266" i="6"/>
  <c r="AF265" i="6"/>
  <c r="AF271" i="6"/>
  <c r="AF264" i="6"/>
  <c r="AH260" i="6" l="1"/>
  <c r="AG276" i="6"/>
  <c r="AG277" i="6"/>
  <c r="AG272" i="6"/>
  <c r="AG270" i="6"/>
  <c r="AG271" i="6"/>
  <c r="AG278" i="6"/>
  <c r="AG264" i="6"/>
  <c r="AG265" i="6"/>
  <c r="AG266" i="6"/>
  <c r="AI260" i="6" l="1"/>
  <c r="AH277" i="6"/>
  <c r="AH278" i="6"/>
  <c r="AH271" i="6"/>
  <c r="AH264" i="6"/>
  <c r="AH272" i="6"/>
  <c r="AH276" i="6"/>
  <c r="AH265" i="6"/>
  <c r="AH266" i="6"/>
  <c r="AH270" i="6"/>
  <c r="AJ260" i="6" l="1"/>
  <c r="AI278" i="6"/>
  <c r="AI277" i="6"/>
  <c r="AI276" i="6"/>
  <c r="AI265" i="6"/>
  <c r="AI271" i="6"/>
  <c r="AI270" i="6"/>
  <c r="AI272" i="6"/>
  <c r="AI266" i="6"/>
  <c r="AI264" i="6"/>
  <c r="AK260" i="6" l="1"/>
  <c r="AJ272" i="6"/>
  <c r="AJ276" i="6"/>
  <c r="AJ266" i="6"/>
  <c r="AJ277" i="6"/>
  <c r="AJ271" i="6"/>
  <c r="AJ270" i="6"/>
  <c r="AJ278" i="6"/>
  <c r="AJ265" i="6"/>
  <c r="AJ264" i="6"/>
  <c r="AL260" i="6" l="1"/>
  <c r="AK276" i="6"/>
  <c r="AK277" i="6"/>
  <c r="AK270" i="6"/>
  <c r="AK278" i="6"/>
  <c r="AK272" i="6"/>
  <c r="AK271" i="6"/>
  <c r="AK264" i="6"/>
  <c r="AK266" i="6"/>
  <c r="AK265" i="6"/>
  <c r="AM260" i="6" l="1"/>
  <c r="AL277" i="6"/>
  <c r="AL278" i="6"/>
  <c r="AL276" i="6"/>
  <c r="AL272" i="6"/>
  <c r="AL271" i="6"/>
  <c r="AL270" i="6"/>
  <c r="AL264" i="6"/>
  <c r="AL266" i="6"/>
  <c r="AL265" i="6"/>
  <c r="AN260" i="6" l="1"/>
  <c r="AM278" i="6"/>
  <c r="AM276" i="6"/>
  <c r="AM272" i="6"/>
  <c r="AM271" i="6"/>
  <c r="AM265" i="6"/>
  <c r="AM277" i="6"/>
  <c r="AM266" i="6"/>
  <c r="AM270" i="6"/>
  <c r="AM264" i="6"/>
  <c r="AO260" i="6" l="1"/>
  <c r="AN272" i="6"/>
  <c r="AN276" i="6"/>
  <c r="AN278" i="6"/>
  <c r="AN277" i="6"/>
  <c r="AN266" i="6"/>
  <c r="AN270" i="6"/>
  <c r="AN265" i="6"/>
  <c r="AN271" i="6"/>
  <c r="AN264" i="6"/>
  <c r="AP260" i="6" l="1"/>
  <c r="AO276" i="6"/>
  <c r="AO277" i="6"/>
  <c r="AO270" i="6"/>
  <c r="AO271" i="6"/>
  <c r="AO278" i="6"/>
  <c r="AO264" i="6"/>
  <c r="AO266" i="6"/>
  <c r="AO272" i="6"/>
  <c r="AO265" i="6"/>
  <c r="AQ260" i="6" l="1"/>
  <c r="AP277" i="6"/>
  <c r="AP278" i="6"/>
  <c r="AP271" i="6"/>
  <c r="AP272" i="6"/>
  <c r="AP264" i="6"/>
  <c r="AP266" i="6"/>
  <c r="AP270" i="6"/>
  <c r="AP265" i="6"/>
  <c r="AP276" i="6"/>
  <c r="AR260" i="6" l="1"/>
  <c r="AQ278" i="6"/>
  <c r="AQ277" i="6"/>
  <c r="AQ272" i="6"/>
  <c r="AQ276" i="6"/>
  <c r="AQ270" i="6"/>
  <c r="AQ265" i="6"/>
  <c r="AQ266" i="6"/>
  <c r="AQ271" i="6"/>
  <c r="AQ264" i="6"/>
  <c r="AS260" i="6" l="1"/>
  <c r="AR272" i="6"/>
  <c r="AR276" i="6"/>
  <c r="AR277" i="6"/>
  <c r="AR266" i="6"/>
  <c r="AR278" i="6"/>
  <c r="AR271" i="6"/>
  <c r="AR265" i="6"/>
  <c r="AR264" i="6"/>
  <c r="AR270" i="6"/>
  <c r="AT260" i="6" l="1"/>
  <c r="AS276" i="6"/>
  <c r="AS277" i="6"/>
  <c r="AS270" i="6"/>
  <c r="AS278" i="6"/>
  <c r="AS271" i="6"/>
  <c r="AS272" i="6"/>
  <c r="AS264" i="6"/>
  <c r="AS266" i="6"/>
  <c r="AS265" i="6"/>
  <c r="AU260" i="6" l="1"/>
  <c r="AT277" i="6"/>
  <c r="AT278" i="6"/>
  <c r="AT276" i="6"/>
  <c r="AT271" i="6"/>
  <c r="AT264" i="6"/>
  <c r="AT270" i="6"/>
  <c r="AT272" i="6"/>
  <c r="AT265" i="6"/>
  <c r="AT266" i="6"/>
  <c r="AV260" i="6" l="1"/>
  <c r="AU278" i="6"/>
  <c r="AU272" i="6"/>
  <c r="AU271" i="6"/>
  <c r="AU265" i="6"/>
  <c r="AU276" i="6"/>
  <c r="AU270" i="6"/>
  <c r="AU266" i="6"/>
  <c r="AU264" i="6"/>
  <c r="AU277" i="6"/>
  <c r="AW260" i="6" l="1"/>
  <c r="AV272" i="6"/>
  <c r="AV276" i="6"/>
  <c r="AV278" i="6"/>
  <c r="AV266" i="6"/>
  <c r="AV277" i="6"/>
  <c r="AV270" i="6"/>
  <c r="AV265" i="6"/>
  <c r="AV271" i="6"/>
  <c r="AV264" i="6"/>
  <c r="AX260" i="6" l="1"/>
  <c r="AW276" i="6"/>
  <c r="AW277" i="6"/>
  <c r="AW272" i="6"/>
  <c r="AW270" i="6"/>
  <c r="AW271" i="6"/>
  <c r="AW278" i="6"/>
  <c r="AW266" i="6"/>
  <c r="AW264" i="6"/>
  <c r="AW265" i="6"/>
  <c r="AY260" i="6" l="1"/>
  <c r="AX277" i="6"/>
  <c r="AX278" i="6"/>
  <c r="AX271" i="6"/>
  <c r="AX272" i="6"/>
  <c r="AX264" i="6"/>
  <c r="AX276" i="6"/>
  <c r="AX265" i="6"/>
  <c r="AX266" i="6"/>
  <c r="AX270" i="6"/>
  <c r="AZ260" i="6" l="1"/>
  <c r="AY278" i="6"/>
  <c r="AY277" i="6"/>
  <c r="AY276" i="6"/>
  <c r="AY265" i="6"/>
  <c r="AY271" i="6"/>
  <c r="AY270" i="6"/>
  <c r="AY266" i="6"/>
  <c r="AY264" i="6"/>
  <c r="AY272" i="6"/>
  <c r="BA260" i="6" l="1"/>
  <c r="AZ272" i="6"/>
  <c r="AZ276" i="6"/>
  <c r="AZ266" i="6"/>
  <c r="AZ277" i="6"/>
  <c r="AZ271" i="6"/>
  <c r="AZ270" i="6"/>
  <c r="AZ278" i="6"/>
  <c r="AZ265" i="6"/>
  <c r="AZ264" i="6"/>
  <c r="BB260" i="6" l="1"/>
  <c r="BA276" i="6"/>
  <c r="BA277" i="6"/>
  <c r="BA270" i="6"/>
  <c r="BA278" i="6"/>
  <c r="BA272" i="6"/>
  <c r="BA271" i="6"/>
  <c r="BA266" i="6"/>
  <c r="BA264" i="6"/>
  <c r="BA265" i="6"/>
  <c r="BC260" i="6" l="1"/>
  <c r="BB277" i="6"/>
  <c r="BB278" i="6"/>
  <c r="BB276" i="6"/>
  <c r="BB272" i="6"/>
  <c r="BB271" i="6"/>
  <c r="BB270" i="6"/>
  <c r="BB266" i="6"/>
  <c r="BB264" i="6"/>
  <c r="BB265" i="6"/>
  <c r="BD260" i="6" l="1"/>
  <c r="BC278" i="6"/>
  <c r="BC276" i="6"/>
  <c r="BC271" i="6"/>
  <c r="BC265" i="6"/>
  <c r="BC272" i="6"/>
  <c r="BC277" i="6"/>
  <c r="BC270" i="6"/>
  <c r="BC264" i="6"/>
  <c r="BC266" i="6"/>
  <c r="BE260" i="6" l="1"/>
  <c r="BD272" i="6"/>
  <c r="BD276" i="6"/>
  <c r="BD278" i="6"/>
  <c r="BD266" i="6"/>
  <c r="BD277" i="6"/>
  <c r="BD270" i="6"/>
  <c r="BD271" i="6"/>
  <c r="BD265" i="6"/>
  <c r="BD264" i="6"/>
  <c r="BF260" i="6" l="1"/>
  <c r="BE276" i="6"/>
  <c r="BE277" i="6"/>
  <c r="BE270" i="6"/>
  <c r="BE271" i="6"/>
  <c r="BE278" i="6"/>
  <c r="BE266" i="6"/>
  <c r="BE272" i="6"/>
  <c r="BE264" i="6"/>
  <c r="BE265" i="6"/>
  <c r="BG260" i="6" l="1"/>
  <c r="BF277" i="6"/>
  <c r="BF278" i="6"/>
  <c r="BF271" i="6"/>
  <c r="BF272" i="6"/>
  <c r="BF264" i="6"/>
  <c r="BF270" i="6"/>
  <c r="BF266" i="6"/>
  <c r="BF265" i="6"/>
  <c r="BF276" i="6"/>
  <c r="BH260" i="6" l="1"/>
  <c r="BG278" i="6"/>
  <c r="BG277" i="6"/>
  <c r="BG272" i="6"/>
  <c r="BG276" i="6"/>
  <c r="BG270" i="6"/>
  <c r="BG266" i="6"/>
  <c r="BG265" i="6"/>
  <c r="BG271" i="6"/>
  <c r="BG264" i="6"/>
  <c r="BI260" i="6" l="1"/>
  <c r="BH272" i="6"/>
  <c r="BH276" i="6"/>
  <c r="BH266" i="6"/>
  <c r="BH277" i="6"/>
  <c r="BH278" i="6"/>
  <c r="BH271" i="6"/>
  <c r="BH265" i="6"/>
  <c r="BH264" i="6"/>
  <c r="BH270" i="6"/>
  <c r="BJ260" i="6" l="1"/>
  <c r="BI276" i="6"/>
  <c r="BI277" i="6"/>
  <c r="BI270" i="6"/>
  <c r="BI278" i="6"/>
  <c r="BI271" i="6"/>
  <c r="BI272" i="6"/>
  <c r="BI264" i="6"/>
  <c r="BI266" i="6"/>
  <c r="BI265" i="6"/>
  <c r="BK260" i="6" l="1"/>
  <c r="BJ277" i="6"/>
  <c r="BJ278" i="6"/>
  <c r="BJ276" i="6"/>
  <c r="BJ271" i="6"/>
  <c r="BJ264" i="6"/>
  <c r="BJ270" i="6"/>
  <c r="BJ266" i="6"/>
  <c r="BJ265" i="6"/>
  <c r="BJ272" i="6"/>
  <c r="BL260" i="6" l="1"/>
  <c r="BK278" i="6"/>
  <c r="BK272" i="6"/>
  <c r="BK271" i="6"/>
  <c r="BK265" i="6"/>
  <c r="BK276" i="6"/>
  <c r="BK270" i="6"/>
  <c r="BK266" i="6"/>
  <c r="BK277" i="6"/>
  <c r="BK264" i="6"/>
  <c r="BM260" i="6" l="1"/>
  <c r="BL272" i="6"/>
  <c r="BL276" i="6"/>
  <c r="BL278" i="6"/>
  <c r="BL266" i="6"/>
  <c r="BL277" i="6"/>
  <c r="BL270" i="6"/>
  <c r="BL265" i="6"/>
  <c r="BL264" i="6"/>
  <c r="BL271" i="6"/>
  <c r="BN260" i="6" l="1"/>
  <c r="BM276" i="6"/>
  <c r="BM277" i="6"/>
  <c r="BM272" i="6"/>
  <c r="BM270" i="6"/>
  <c r="BM271" i="6"/>
  <c r="BM278" i="6"/>
  <c r="BM266" i="6"/>
  <c r="BM264" i="6"/>
  <c r="BM265" i="6"/>
  <c r="BO260" i="6" l="1"/>
  <c r="BN277" i="6"/>
  <c r="BN278" i="6"/>
  <c r="BN271" i="6"/>
  <c r="BN270" i="6"/>
  <c r="BN264" i="6"/>
  <c r="BN272" i="6"/>
  <c r="BN276" i="6"/>
  <c r="BN265" i="6"/>
  <c r="BN266" i="6"/>
  <c r="BP260" i="6" l="1"/>
  <c r="BO278" i="6"/>
  <c r="BO277" i="6"/>
  <c r="BO276" i="6"/>
  <c r="BO265" i="6"/>
  <c r="BO271" i="6"/>
  <c r="BO272" i="6"/>
  <c r="BO266" i="6"/>
  <c r="BO264" i="6"/>
  <c r="BO270" i="6"/>
  <c r="BQ260" i="6" l="1"/>
  <c r="BP272" i="6"/>
  <c r="BP276" i="6"/>
  <c r="BP266" i="6"/>
  <c r="BP270" i="6"/>
  <c r="BP277" i="6"/>
  <c r="BP271" i="6"/>
  <c r="BP278" i="6"/>
  <c r="BP265" i="6"/>
  <c r="BP264" i="6"/>
  <c r="BR260" i="6" l="1"/>
  <c r="BQ276" i="6"/>
  <c r="BQ277" i="6"/>
  <c r="BQ270" i="6"/>
  <c r="BQ278" i="6"/>
  <c r="BQ272" i="6"/>
  <c r="BQ271" i="6"/>
  <c r="BQ266" i="6"/>
  <c r="BQ264" i="6"/>
  <c r="BQ265" i="6"/>
  <c r="BS260" i="6" l="1"/>
  <c r="BR277" i="6"/>
  <c r="BR278" i="6"/>
  <c r="BR276" i="6"/>
  <c r="BR272" i="6"/>
  <c r="BR271" i="6"/>
  <c r="BR266" i="6"/>
  <c r="BR264" i="6"/>
  <c r="BR265" i="6"/>
  <c r="BR270" i="6"/>
  <c r="BT260" i="6" l="1"/>
  <c r="BS278" i="6"/>
  <c r="BS276" i="6"/>
  <c r="BS272" i="6"/>
  <c r="BS271" i="6"/>
  <c r="BS265" i="6"/>
  <c r="BS277" i="6"/>
  <c r="BS270" i="6"/>
  <c r="BS266" i="6"/>
  <c r="BS264" i="6"/>
  <c r="BU260" i="6" l="1"/>
  <c r="BT272" i="6"/>
  <c r="BT276" i="6"/>
  <c r="BT278" i="6"/>
  <c r="BT266" i="6"/>
  <c r="BT277" i="6"/>
  <c r="BT270" i="6"/>
  <c r="BT265" i="6"/>
  <c r="BT271" i="6"/>
  <c r="BT264" i="6"/>
  <c r="BV260" i="6" l="1"/>
  <c r="BU276" i="6"/>
  <c r="BU277" i="6"/>
  <c r="BU270" i="6"/>
  <c r="BU271" i="6"/>
  <c r="BU278" i="6"/>
  <c r="BU266" i="6"/>
  <c r="BU264" i="6"/>
  <c r="BU272" i="6"/>
  <c r="BU265" i="6"/>
  <c r="BW260" i="6" l="1"/>
  <c r="BV277" i="6"/>
  <c r="BV278" i="6"/>
  <c r="BV271" i="6"/>
  <c r="BV272" i="6"/>
  <c r="BV270" i="6"/>
  <c r="BV264" i="6"/>
  <c r="BV266" i="6"/>
  <c r="BV265" i="6"/>
  <c r="BV276" i="6"/>
  <c r="BX260" i="6" l="1"/>
  <c r="BW278" i="6"/>
  <c r="BW277" i="6"/>
  <c r="BW272" i="6"/>
  <c r="BW276" i="6"/>
  <c r="BW266" i="6"/>
  <c r="BW265" i="6"/>
  <c r="BW271" i="6"/>
  <c r="BW264" i="6"/>
  <c r="BW270" i="6"/>
  <c r="BY260" i="6" l="1"/>
  <c r="BX272" i="6"/>
  <c r="BX276" i="6"/>
  <c r="BX266" i="6"/>
  <c r="BX270" i="6"/>
  <c r="BX277" i="6"/>
  <c r="BX278" i="6"/>
  <c r="BX271" i="6"/>
  <c r="BX264" i="6"/>
  <c r="BX265" i="6"/>
  <c r="BZ260" i="6" l="1"/>
  <c r="BY276" i="6"/>
  <c r="BY277" i="6"/>
  <c r="BY270" i="6"/>
  <c r="BY278" i="6"/>
  <c r="BY271" i="6"/>
  <c r="BY272" i="6"/>
  <c r="BY264" i="6"/>
  <c r="BY266" i="6"/>
  <c r="BY265" i="6"/>
  <c r="CA260" i="6" l="1"/>
  <c r="BZ277" i="6"/>
  <c r="BZ278" i="6"/>
  <c r="BZ276" i="6"/>
  <c r="BZ271" i="6"/>
  <c r="BZ264" i="6"/>
  <c r="BZ270" i="6"/>
  <c r="BZ266" i="6"/>
  <c r="BZ272" i="6"/>
  <c r="BZ265" i="6"/>
  <c r="CB260" i="6" l="1"/>
  <c r="CA278" i="6"/>
  <c r="CA272" i="6"/>
  <c r="CA271" i="6"/>
  <c r="CA265" i="6"/>
  <c r="CA276" i="6"/>
  <c r="CA270" i="6"/>
  <c r="CA266" i="6"/>
  <c r="CA277" i="6"/>
  <c r="CA264" i="6"/>
  <c r="CC260" i="6" l="1"/>
  <c r="CB272" i="6"/>
  <c r="CB276" i="6"/>
  <c r="CB278" i="6"/>
  <c r="CB266" i="6"/>
  <c r="CB277" i="6"/>
  <c r="CB270" i="6"/>
  <c r="CB265" i="6"/>
  <c r="CB271" i="6"/>
  <c r="CB264" i="6"/>
  <c r="CD260" i="6" l="1"/>
  <c r="CC276" i="6"/>
  <c r="CC277" i="6"/>
  <c r="CC272" i="6"/>
  <c r="CC270" i="6"/>
  <c r="CC271" i="6"/>
  <c r="CC278" i="6"/>
  <c r="CC266" i="6"/>
  <c r="CC264" i="6"/>
  <c r="CC265" i="6"/>
  <c r="CE260" i="6" l="1"/>
  <c r="CD277" i="6"/>
  <c r="CD278" i="6"/>
  <c r="CD271" i="6"/>
  <c r="CD272" i="6"/>
  <c r="CD270" i="6"/>
  <c r="CD264" i="6"/>
  <c r="CD276" i="6"/>
  <c r="CD265" i="6"/>
  <c r="CD266" i="6"/>
  <c r="CF260" i="6" l="1"/>
  <c r="CE278" i="6"/>
  <c r="CE277" i="6"/>
  <c r="CE276" i="6"/>
  <c r="CE265" i="6"/>
  <c r="CE271" i="6"/>
  <c r="CE266" i="6"/>
  <c r="CE270" i="6"/>
  <c r="CE264" i="6"/>
  <c r="CE272" i="6"/>
  <c r="CG260" i="6" l="1"/>
  <c r="CF272" i="6"/>
  <c r="CF276" i="6"/>
  <c r="CF266" i="6"/>
  <c r="CF270" i="6"/>
  <c r="CF277" i="6"/>
  <c r="CF271" i="6"/>
  <c r="CF265" i="6"/>
  <c r="CF278" i="6"/>
  <c r="CF264" i="6"/>
  <c r="CH260" i="6" l="1"/>
  <c r="CG276" i="6"/>
  <c r="CG277" i="6"/>
  <c r="CG270" i="6"/>
  <c r="CG278" i="6"/>
  <c r="CG272" i="6"/>
  <c r="CG271" i="6"/>
  <c r="CG266" i="6"/>
  <c r="CG264" i="6"/>
  <c r="CG265" i="6"/>
  <c r="CI260" i="6" l="1"/>
  <c r="CH277" i="6"/>
  <c r="CH278" i="6"/>
  <c r="CH276" i="6"/>
  <c r="CH272" i="6"/>
  <c r="CH271" i="6"/>
  <c r="CH266" i="6"/>
  <c r="CH264" i="6"/>
  <c r="CH265" i="6"/>
  <c r="CH270" i="6"/>
  <c r="CJ260" i="6" l="1"/>
  <c r="CI278" i="6"/>
  <c r="CI276" i="6"/>
  <c r="CI271" i="6"/>
  <c r="CI265" i="6"/>
  <c r="CI272" i="6"/>
  <c r="CI277" i="6"/>
  <c r="CI270" i="6"/>
  <c r="CI264" i="6"/>
  <c r="CI266" i="6"/>
  <c r="CK260" i="6" l="1"/>
  <c r="CJ272" i="6"/>
  <c r="CJ276" i="6"/>
  <c r="CJ278" i="6"/>
  <c r="CJ266" i="6"/>
  <c r="CJ277" i="6"/>
  <c r="CJ270" i="6"/>
  <c r="CJ271" i="6"/>
  <c r="CJ265" i="6"/>
  <c r="CJ264" i="6"/>
  <c r="CL260" i="6" l="1"/>
  <c r="CK276" i="6"/>
  <c r="CK277" i="6"/>
  <c r="CK270" i="6"/>
  <c r="CK271" i="6"/>
  <c r="CK278" i="6"/>
  <c r="CK266" i="6"/>
  <c r="CK272" i="6"/>
  <c r="CK264" i="6"/>
  <c r="CK265" i="6"/>
  <c r="CM260" i="6" l="1"/>
  <c r="CL277" i="6"/>
  <c r="CL278" i="6"/>
  <c r="CL271" i="6"/>
  <c r="CL272" i="6"/>
  <c r="CL270" i="6"/>
  <c r="CL264" i="6"/>
  <c r="CL266" i="6"/>
  <c r="CL265" i="6"/>
  <c r="CL276" i="6"/>
  <c r="CN260" i="6" l="1"/>
  <c r="CM278" i="6"/>
  <c r="CM277" i="6"/>
  <c r="CM272" i="6"/>
  <c r="CM276" i="6"/>
  <c r="CM266" i="6"/>
  <c r="CM265" i="6"/>
  <c r="CM271" i="6"/>
  <c r="CM264" i="6"/>
  <c r="CM270" i="6"/>
  <c r="CO260" i="6" l="1"/>
  <c r="CN272" i="6"/>
  <c r="CN276" i="6"/>
  <c r="CN266" i="6"/>
  <c r="CN270" i="6"/>
  <c r="CN277" i="6"/>
  <c r="CN278" i="6"/>
  <c r="CN271" i="6"/>
  <c r="CN265" i="6"/>
  <c r="CN264" i="6"/>
  <c r="CP260" i="6" l="1"/>
  <c r="CO276" i="6"/>
  <c r="CO277" i="6"/>
  <c r="CO270" i="6"/>
  <c r="CO278" i="6"/>
  <c r="CO271" i="6"/>
  <c r="CO272" i="6"/>
  <c r="CO264" i="6"/>
  <c r="CO266" i="6"/>
  <c r="CO265" i="6"/>
  <c r="CP277" i="6" l="1"/>
  <c r="D301" i="6" s="1"/>
  <c r="H20" i="1" s="1"/>
  <c r="CP278" i="6"/>
  <c r="D302" i="6" s="1"/>
  <c r="CP276" i="6"/>
  <c r="D300" i="6" s="1"/>
  <c r="CP271" i="6"/>
  <c r="D289" i="6" s="1"/>
  <c r="CP264" i="6"/>
  <c r="D282" i="6" s="1"/>
  <c r="CP270" i="6"/>
  <c r="D288" i="6" s="1"/>
  <c r="CP265" i="6"/>
  <c r="D283" i="6" s="1"/>
  <c r="CP266" i="6"/>
  <c r="D284" i="6" s="1"/>
  <c r="CP272" i="6"/>
  <c r="D290" i="6" s="1"/>
  <c r="D295" i="6" l="1"/>
  <c r="D307" i="6" s="1"/>
  <c r="H22" i="1" s="1"/>
  <c r="D296" i="6"/>
  <c r="D308" i="6" s="1"/>
  <c r="H50" i="1" s="1"/>
  <c r="D294" i="6"/>
  <c r="D306" i="6" s="1"/>
  <c r="H52" i="1" s="1"/>
  <c r="H18" i="1" l="1"/>
</calcChain>
</file>

<file path=xl/sharedStrings.xml><?xml version="1.0" encoding="utf-8"?>
<sst xmlns="http://schemas.openxmlformats.org/spreadsheetml/2006/main" count="558" uniqueCount="428">
  <si>
    <t>Present Value Base Year</t>
  </si>
  <si>
    <t>Current Year</t>
  </si>
  <si>
    <t>Proposal Opening year:</t>
  </si>
  <si>
    <t>Project (Road/Rail or Road and Rail):</t>
  </si>
  <si>
    <t>Rail</t>
  </si>
  <si>
    <t xml:space="preserve"> </t>
  </si>
  <si>
    <t>Overall Assessment Score:</t>
  </si>
  <si>
    <t>Quantitative Assessment:</t>
  </si>
  <si>
    <t>(between 'with scheme' and 'without scheme' scenarios)</t>
  </si>
  <si>
    <t>Qualitative Comments:</t>
  </si>
  <si>
    <t>Sensitivity Analysis:</t>
  </si>
  <si>
    <t>Data Sources:</t>
  </si>
  <si>
    <t>Scheme details</t>
  </si>
  <si>
    <t>Opening year</t>
  </si>
  <si>
    <t>Current year</t>
  </si>
  <si>
    <t>Appraisal period and discounting</t>
  </si>
  <si>
    <t>Appraisal period</t>
  </si>
  <si>
    <t>discount period 1</t>
  </si>
  <si>
    <t>discount period 2</t>
  </si>
  <si>
    <t>discount period 3</t>
  </si>
  <si>
    <t>discount rate 1</t>
  </si>
  <si>
    <t>discount rate 2</t>
  </si>
  <si>
    <t>discount rate 3</t>
  </si>
  <si>
    <t>PV base year</t>
  </si>
  <si>
    <t>Outputs price year</t>
  </si>
  <si>
    <t>year</t>
  </si>
  <si>
    <t>source:</t>
  </si>
  <si>
    <t>Appraisal period (years)</t>
  </si>
  <si>
    <t>PV_base_year_in</t>
  </si>
  <si>
    <t>Price_base_outputs_in</t>
  </si>
  <si>
    <t>Appraisal_period_length_in</t>
  </si>
  <si>
    <t>Scheme name</t>
  </si>
  <si>
    <t>Scheme type (select from list)</t>
  </si>
  <si>
    <t>Opening_year_in</t>
  </si>
  <si>
    <t>Current_year_in</t>
  </si>
  <si>
    <t>Scheme_type</t>
  </si>
  <si>
    <t>Scheme_name</t>
  </si>
  <si>
    <t>Discount_period_1_in</t>
  </si>
  <si>
    <t>Discount_period_2_in</t>
  </si>
  <si>
    <t>Discount_period_3_in</t>
  </si>
  <si>
    <t>Discount_rate_1_in</t>
  </si>
  <si>
    <t>Discount_rate_2_in</t>
  </si>
  <si>
    <t>Discount_rate_3_in</t>
  </si>
  <si>
    <t>Rail without scheme</t>
  </si>
  <si>
    <t>Rail with scheme</t>
  </si>
  <si>
    <t>Opening_year_mask</t>
  </si>
  <si>
    <t>Opening_year</t>
  </si>
  <si>
    <t>Masks</t>
  </si>
  <si>
    <t>GDP deflator</t>
  </si>
  <si>
    <t>GDP_deflator_in</t>
  </si>
  <si>
    <t>Discount period</t>
  </si>
  <si>
    <t>Current_year</t>
  </si>
  <si>
    <t>PV_base_year</t>
  </si>
  <si>
    <t>Discount_period_1</t>
  </si>
  <si>
    <t>Discount_period_2</t>
  </si>
  <si>
    <t>Discount_period_3</t>
  </si>
  <si>
    <t>Discount_rate_1</t>
  </si>
  <si>
    <t>Discount_rate_2</t>
  </si>
  <si>
    <t>Discount_rate_3</t>
  </si>
  <si>
    <t>Discount period 1</t>
  </si>
  <si>
    <t>Discount period 2</t>
  </si>
  <si>
    <t>Discount period 3</t>
  </si>
  <si>
    <t>Discount_period_2_mask</t>
  </si>
  <si>
    <t>Discount_period_3_mask</t>
  </si>
  <si>
    <t>Discount rates and factors</t>
  </si>
  <si>
    <t>Discount rate profile</t>
  </si>
  <si>
    <t>Discount factor</t>
  </si>
  <si>
    <t>Discount_rate_profile</t>
  </si>
  <si>
    <t>Discount_factor</t>
  </si>
  <si>
    <t>NPV_low</t>
  </si>
  <si>
    <t>NPV_central</t>
  </si>
  <si>
    <t>NPV_high</t>
  </si>
  <si>
    <t>Low (£)</t>
  </si>
  <si>
    <t>Central (£)</t>
  </si>
  <si>
    <t>High (£)</t>
  </si>
  <si>
    <t>Forecast year</t>
  </si>
  <si>
    <t>Forecast_year_in</t>
  </si>
  <si>
    <t>Without scheme</t>
  </si>
  <si>
    <t>With scheme</t>
  </si>
  <si>
    <t>Opening_year_without_scheme_NOx_emissions</t>
  </si>
  <si>
    <t>Forecast_year_without_scheme_NOx_emissions</t>
  </si>
  <si>
    <t>Opening_year_with_scheme_NOx_emissions</t>
  </si>
  <si>
    <t>Forecast_year_with_scheme_NOx_emissions</t>
  </si>
  <si>
    <t>Forecast_year</t>
  </si>
  <si>
    <t>Interpolation</t>
  </si>
  <si>
    <t>Forecast_year_mask</t>
  </si>
  <si>
    <t>Opening_year_with_scheme_NOx_emissions_in</t>
  </si>
  <si>
    <t>Appraisal_period</t>
  </si>
  <si>
    <t>Appraisal period length (years)</t>
  </si>
  <si>
    <t>TAG data book Table A3.2 (v1.3 November 2014)</t>
  </si>
  <si>
    <t>Urban without scheme</t>
  </si>
  <si>
    <t>Urban with scheme</t>
  </si>
  <si>
    <t>Difference</t>
  </si>
  <si>
    <t>National without scheme</t>
  </si>
  <si>
    <t>National with scheme</t>
  </si>
  <si>
    <t>Custom without scheme</t>
  </si>
  <si>
    <t>Custom with scheme</t>
  </si>
  <si>
    <t>Real GDP per household</t>
  </si>
  <si>
    <t>Real GDP per capita</t>
  </si>
  <si>
    <t>Exceedance method</t>
  </si>
  <si>
    <t>Central</t>
  </si>
  <si>
    <t>Low</t>
  </si>
  <si>
    <t>High</t>
  </si>
  <si>
    <t>Opening_year_without_scheme_PM10_concentrations_in</t>
  </si>
  <si>
    <t>Opening_year_with_scheme_PM10_concentrations_in</t>
  </si>
  <si>
    <t>Forecast_year_without_scheme_PM10_concentrations_in</t>
  </si>
  <si>
    <t>Forecast_year_with_scheme_PM10_concentrations_in</t>
  </si>
  <si>
    <t>Urban (Road)</t>
  </si>
  <si>
    <t>National (Road)</t>
  </si>
  <si>
    <t>GDP_household_in</t>
  </si>
  <si>
    <t>GDP_capita_in</t>
  </si>
  <si>
    <t>Emissions and concentrations values</t>
  </si>
  <si>
    <t>Interpolation_mask</t>
  </si>
  <si>
    <t>Appraisal_period_length</t>
  </si>
  <si>
    <t>Forecast_year_with_scheme_NOx_emissions_in</t>
  </si>
  <si>
    <t>Extrapolation</t>
  </si>
  <si>
    <t>Extrapolation_mask</t>
  </si>
  <si>
    <t>Urban_without_scheme_emissions</t>
  </si>
  <si>
    <t>Urban_with_scheme_emissions</t>
  </si>
  <si>
    <t>Urban_emissions_exceedance</t>
  </si>
  <si>
    <t>National_emissions_exceedance</t>
  </si>
  <si>
    <t>National_without_scheme_emissions</t>
  </si>
  <si>
    <t>Rail_emissions_exceedance</t>
  </si>
  <si>
    <t>Rail_without_scheme_emissions</t>
  </si>
  <si>
    <t>Rail_with_scheme_emissions</t>
  </si>
  <si>
    <t>Custom</t>
  </si>
  <si>
    <t>Urban_emissions_exceedance_in</t>
  </si>
  <si>
    <t>National_emissions_exceedance_in</t>
  </si>
  <si>
    <t>Rail_emissions_exceedance_in</t>
  </si>
  <si>
    <t>Custom_emissions_exceedance_in</t>
  </si>
  <si>
    <t>Custom_emissions_exceedance</t>
  </si>
  <si>
    <t>Custom_without_scheme_emissions</t>
  </si>
  <si>
    <t>Custom_with_scheme_emissions</t>
  </si>
  <si>
    <t>Opening_year_with_scheme_PM10_concentrations</t>
  </si>
  <si>
    <t>Forecast_year_with_scheme_PM10_concentrations</t>
  </si>
  <si>
    <t>Opening_year_without_scheme_PM10_concentrations</t>
  </si>
  <si>
    <t>Forecast_year_without_scheme_PM10_concentrations</t>
  </si>
  <si>
    <t>Total_without_scheme_PM10_concentrations</t>
  </si>
  <si>
    <t>Total_with_scheme_PM10_concentrations</t>
  </si>
  <si>
    <t>NOx_damage_costs_central</t>
  </si>
  <si>
    <t>NOx_damage_costs_low</t>
  </si>
  <si>
    <t>NOx_damage_costs_high</t>
  </si>
  <si>
    <t xml:space="preserve">Low </t>
  </si>
  <si>
    <t>GDP_deflator</t>
  </si>
  <si>
    <t>GDP_household</t>
  </si>
  <si>
    <t>GDP_capita</t>
  </si>
  <si>
    <t>NOx_abatement_costs_central</t>
  </si>
  <si>
    <t>NOx_abatement_costs_low</t>
  </si>
  <si>
    <t>NOx_abatement_costs_high</t>
  </si>
  <si>
    <t>PM10_damage_costs_central</t>
  </si>
  <si>
    <t>PM10_damage_costs_low</t>
  </si>
  <si>
    <t>PM10_damage_costs_high</t>
  </si>
  <si>
    <t>PM10_damage_base_value_central_in</t>
  </si>
  <si>
    <t>PM10_damage_base_value_low_in</t>
  </si>
  <si>
    <t>PM10_damage_base_value_high_in</t>
  </si>
  <si>
    <t>Central base value</t>
  </si>
  <si>
    <t>Low base value</t>
  </si>
  <si>
    <t>High base value</t>
  </si>
  <si>
    <t>PM10_damage_base_value_central</t>
  </si>
  <si>
    <t>PM10_damage_base_value_low</t>
  </si>
  <si>
    <t>PM10_damage_base_value_high</t>
  </si>
  <si>
    <t>Price base for outputs</t>
  </si>
  <si>
    <t>Price_base_outputs</t>
  </si>
  <si>
    <t>GDP_deflator_outputs</t>
  </si>
  <si>
    <t>Price base adjustment</t>
  </si>
  <si>
    <t>Price_adjustment</t>
  </si>
  <si>
    <t>GDP deflator index - values</t>
  </si>
  <si>
    <t>Discounted benefits for NOx emissions not in areas of exceedance</t>
  </si>
  <si>
    <t>Discounted benefits for NOx emissions in areas of exceedance</t>
  </si>
  <si>
    <t>Discounted benefits for PM10 concentrations</t>
  </si>
  <si>
    <t>Urban_difference</t>
  </si>
  <si>
    <t>National_difference</t>
  </si>
  <si>
    <t>Rail_difference</t>
  </si>
  <si>
    <t>Custom_difference</t>
  </si>
  <si>
    <t>Urban difference</t>
  </si>
  <si>
    <t>National difference</t>
  </si>
  <si>
    <t>Custom difference</t>
  </si>
  <si>
    <t>NOx_benefits_not_in_exceedance_discounted_low</t>
  </si>
  <si>
    <t>NOx_benefits_not_in_exceedance_discounted_central</t>
  </si>
  <si>
    <t>NOx_benefits_not_in_exceedance_discounted_high</t>
  </si>
  <si>
    <t>NOx_benefits_in_exceedance_discounted_low</t>
  </si>
  <si>
    <t>NOx_benefits_in_exceedance_discounted_central</t>
  </si>
  <si>
    <t>NOx_benefits_in_exceedance_discounted_high</t>
  </si>
  <si>
    <t>PM10_benefits_discounted_low</t>
  </si>
  <si>
    <t>PM10_benefits_discounted_central</t>
  </si>
  <si>
    <t>PM10_benefits_discounted_high</t>
  </si>
  <si>
    <t>NOx damage costs NPV estimates</t>
  </si>
  <si>
    <t>PM10 damage costs NPV estimates</t>
  </si>
  <si>
    <t>NOx abatement costs NPV estimates</t>
  </si>
  <si>
    <t>PM10_damage_NPV_low</t>
  </si>
  <si>
    <t>PM10_damage_NPV_central</t>
  </si>
  <si>
    <t>PM10_damage_NPV_high</t>
  </si>
  <si>
    <t>Change in NOX emissions over 60 year appraisal period:</t>
  </si>
  <si>
    <t>Check</t>
  </si>
  <si>
    <t>Urban emission exceedance (%)</t>
  </si>
  <si>
    <t>National emission exceedance (%)</t>
  </si>
  <si>
    <t>Rail emission exceedance (%)</t>
  </si>
  <si>
    <t>Custom emission exceedance (%)</t>
  </si>
  <si>
    <t>NOx emissions not in areas of exceedance</t>
  </si>
  <si>
    <t>NOx emissions in areas of exceedance</t>
  </si>
  <si>
    <t>Total</t>
  </si>
  <si>
    <t>Change in PM10 net total assessment</t>
  </si>
  <si>
    <t>GDP per capita index - values</t>
  </si>
  <si>
    <t>Income_base_values_in</t>
  </si>
  <si>
    <t>Price_base_values_in</t>
  </si>
  <si>
    <t>Income_base_values</t>
  </si>
  <si>
    <t>Price_base_values</t>
  </si>
  <si>
    <t>Price base year</t>
  </si>
  <si>
    <t>Income base year</t>
  </si>
  <si>
    <t>Income base for emission/concentration values</t>
  </si>
  <si>
    <t>GDP deflator index - for outputs</t>
  </si>
  <si>
    <t>Change_in_PM10_net_total_assessment</t>
  </si>
  <si>
    <r>
      <t xml:space="preserve">*positive value reflects a </t>
    </r>
    <r>
      <rPr>
        <b/>
        <sz val="7"/>
        <rFont val="Arial"/>
        <family val="2"/>
      </rPr>
      <t>net benefit</t>
    </r>
    <r>
      <rPr>
        <sz val="7"/>
        <rFont val="Arial"/>
        <family val="2"/>
      </rPr>
      <t xml:space="preserve"> (i.e. air quality improvement)</t>
    </r>
  </si>
  <si>
    <t>Opening_year_net_route_assessment</t>
  </si>
  <si>
    <t>TOTAL_emissions_change_60years</t>
  </si>
  <si>
    <t>Change over 60 years</t>
  </si>
  <si>
    <t>NOx_emissions_TOTAL_change</t>
  </si>
  <si>
    <t>GDP per household index - values</t>
  </si>
  <si>
    <t>Percentage of emissions exceeding limit values (all vehicles)</t>
  </si>
  <si>
    <t>Exceedance_method_in</t>
  </si>
  <si>
    <t>Exceedance_method</t>
  </si>
  <si>
    <t>Opening_year_without_scheme_NOx_emissions_mask</t>
  </si>
  <si>
    <t>Forecast_year_without_scheme_NOx_emissions_mask</t>
  </si>
  <si>
    <t>Interpolation_without_scheme_NOx_emissions_mask</t>
  </si>
  <si>
    <t>Extrapolation_without_scheme_NOx_emissions_mask</t>
  </si>
  <si>
    <t>Total_without_scheme_NOx_emissions</t>
  </si>
  <si>
    <t>Opening_year_with_scheme_NOx_emissions_mask</t>
  </si>
  <si>
    <t>Forecast_year_with_scheme_NOx_emissions_mask</t>
  </si>
  <si>
    <t>Interpolation_with_scheme_NOx_emissions_mask</t>
  </si>
  <si>
    <t>Extrapolation_with_scheme_NOx_emissions_mask</t>
  </si>
  <si>
    <t>Total_with_scheme_NOx_emissions</t>
  </si>
  <si>
    <t>Rail difference</t>
  </si>
  <si>
    <t>Interpolation_without_scheme_PM10_concentrations_mask</t>
  </si>
  <si>
    <t>Opening_year_without_scheme_PM10_concentrations_mask</t>
  </si>
  <si>
    <t>Forecast_year_without_scheme_PM10_concentrations_mask</t>
  </si>
  <si>
    <t>Extrapolation_without_scheme_PM10_concentrations_mask</t>
  </si>
  <si>
    <t>Opening_year_with_scheme_PM10_concentrations_mask</t>
  </si>
  <si>
    <t>Forecast_year_with_scheme_PM10_concentrations_mask</t>
  </si>
  <si>
    <t>Interpolation_with_scheme_PM10_concentrations_mask</t>
  </si>
  <si>
    <t>Extrapolation_with_scheme_PM10_concentrations_mask</t>
  </si>
  <si>
    <t>NOx_benefits_not_in_exceedance_low</t>
  </si>
  <si>
    <t>NOx_benefits_not_in_exceedance_central</t>
  </si>
  <si>
    <t>NOx_benefits_not_in_exceedance_high</t>
  </si>
  <si>
    <t>NOx emissions benefits not in areas of exceedance</t>
  </si>
  <si>
    <t>NOx emissions benefits in areas of exceedance</t>
  </si>
  <si>
    <t>PM10 concentrations benefits</t>
  </si>
  <si>
    <t>NOx_benefits_in_exceedance_low</t>
  </si>
  <si>
    <t>NOx_benefits_in_exceedance_central</t>
  </si>
  <si>
    <t>NOx_benefits_in_exceedance_high</t>
  </si>
  <si>
    <t>PM10_benefits_low</t>
  </si>
  <si>
    <t>PM10_benefits_central</t>
  </si>
  <si>
    <t>PM10_benefits_high</t>
  </si>
  <si>
    <t>(positive values represent a benefit -  a reduction in noise)</t>
  </si>
  <si>
    <t>Total present value of change in air quality: £NPV</t>
  </si>
  <si>
    <t>Total present value of change in NOx emissions</t>
  </si>
  <si>
    <t>NOx_damage_NPV_low</t>
  </si>
  <si>
    <t>NOx_damage_NPV_central</t>
  </si>
  <si>
    <t>NOx_damage_NPV_high</t>
  </si>
  <si>
    <t>NOx_abatement_NPV_low</t>
  </si>
  <si>
    <t>NOx_abatement_NPV_central</t>
  </si>
  <si>
    <t>NOx_abatement_NPV_high</t>
  </si>
  <si>
    <t>NOx_NPV_low</t>
  </si>
  <si>
    <t>NOx_NPV_central</t>
  </si>
  <si>
    <t>NOx_NPV_high</t>
  </si>
  <si>
    <t>Present value of change in PM10 concentrations (£):</t>
  </si>
  <si>
    <t>Total value of change in air quality (£):</t>
  </si>
  <si>
    <t>Present value of change in NOx emissions (£):</t>
  </si>
  <si>
    <t>Net total route assessment (opening year) for PM10 :</t>
  </si>
  <si>
    <t>Upper estimate net present value of change in air quality (£):</t>
  </si>
  <si>
    <t>Lower estimate net present value of change in air quality (£):</t>
  </si>
  <si>
    <t>National_with_scheme_emissions</t>
  </si>
  <si>
    <t>road</t>
  </si>
  <si>
    <t>National</t>
  </si>
  <si>
    <t>NOx_damage_base_value_high</t>
  </si>
  <si>
    <t>NOx_damage_base_value_low</t>
  </si>
  <si>
    <t>NOx_damage_base_value_central</t>
  </si>
  <si>
    <t>NOx_damage_base_value_central_in</t>
  </si>
  <si>
    <t>NOx_damage_base_value_low_in</t>
  </si>
  <si>
    <t>NOx_damage_base_value_high_in</t>
  </si>
  <si>
    <t>NOx_abatement_base_value_central_in</t>
  </si>
  <si>
    <t>NOx_abatement_base_value_low_in</t>
  </si>
  <si>
    <t>NOx_abatement_base_value_high_in</t>
  </si>
  <si>
    <t>NOx_abatement_base_value_central</t>
  </si>
  <si>
    <t>NOx_abatement_base_value_low</t>
  </si>
  <si>
    <t>NOx_abatement_base_value_high</t>
  </si>
  <si>
    <t>GDP_capita_base_values</t>
  </si>
  <si>
    <t>GDP_household_base_values</t>
  </si>
  <si>
    <t>GDP_deflator_base_values</t>
  </si>
  <si>
    <t>Defra analysis</t>
  </si>
  <si>
    <t>Exceedances</t>
  </si>
  <si>
    <t>Select the method used to calculate emissions on links exceeding EU limit values (i.e. urban, national or rail defaults or 'custom' modelled emissions) from the drop-down in cell C38.</t>
  </si>
  <si>
    <t>If using the 'custom' method, enter the appropriate percentages in row 46.</t>
  </si>
  <si>
    <t>Opening year NOx emissions</t>
  </si>
  <si>
    <t>Forecast year NOx emissions</t>
  </si>
  <si>
    <t>Difference_without_scheme_NOx_emissions</t>
  </si>
  <si>
    <t>Difference_with_scheme_NOx_emissions</t>
  </si>
  <si>
    <t>EU emission exceedance values</t>
  </si>
  <si>
    <t>Urban</t>
  </si>
  <si>
    <t>Urban_mask</t>
  </si>
  <si>
    <t>National_mask</t>
  </si>
  <si>
    <t>Rail_mask</t>
  </si>
  <si>
    <t>Custom_mask</t>
  </si>
  <si>
    <t>NOx damage costs (£/tonne)</t>
  </si>
  <si>
    <t>NOx abatement costs (£/tonne)</t>
  </si>
  <si>
    <t>PM10 damage costs (£/HH/1μgm-3)</t>
  </si>
  <si>
    <t>Without scheme (tonnes)</t>
  </si>
  <si>
    <t>With scheme (tonnes)</t>
  </si>
  <si>
    <t>Total change in NOx emissions (tonnes)</t>
  </si>
  <si>
    <t>Opening year PM10 concentrations</t>
  </si>
  <si>
    <t>Forecast year PM10 concentrations</t>
  </si>
  <si>
    <t>Difference_without_scheme_PM10_concentrations</t>
  </si>
  <si>
    <t>Difference_with_scheme_PM10_concentrations</t>
  </si>
  <si>
    <t>Opening year net route assessment</t>
  </si>
  <si>
    <t>GDP deflator index</t>
  </si>
  <si>
    <t>Real GDP per household index</t>
  </si>
  <si>
    <t>Real GDP per capita index</t>
  </si>
  <si>
    <t>Urban NOx emissions (tonnes)</t>
  </si>
  <si>
    <t>National NOx emissions (tonnes)</t>
  </si>
  <si>
    <t>Rail NOx emissions (tonnes)</t>
  </si>
  <si>
    <t>Custom NOx emissions (tonnes)</t>
  </si>
  <si>
    <t>Difference (years)</t>
  </si>
  <si>
    <t>NOx emissions (tonnes)</t>
  </si>
  <si>
    <t>NOx damage base values</t>
  </si>
  <si>
    <t>NOx abatement base values</t>
  </si>
  <si>
    <t>PM10 damage base values</t>
  </si>
  <si>
    <t>Change in emissions</t>
  </si>
  <si>
    <t>NOx emissions in tonnes per year</t>
  </si>
  <si>
    <t>Areas not exceeding limit values</t>
  </si>
  <si>
    <t>Areas exceeding limit values</t>
  </si>
  <si>
    <t>Qualitative comments:</t>
  </si>
  <si>
    <t>Without_scheme_NOx_emissions_in_exceedance</t>
  </si>
  <si>
    <t>With_scheme_NOx_emissions_in_exceedance</t>
  </si>
  <si>
    <t>Without_scheme_NOx_emissions_not_in_exceedance</t>
  </si>
  <si>
    <t>With_scheme_NOx_emissions_not in_exceedance</t>
  </si>
  <si>
    <t>Change_NOx_emissions_in_exceedance</t>
  </si>
  <si>
    <t>Change_NOx_emissions_not_in_exceedance</t>
  </si>
  <si>
    <t>Without scheme opening year</t>
  </si>
  <si>
    <t>With scheme opening year</t>
  </si>
  <si>
    <t>Without scheme forecast year</t>
  </si>
  <si>
    <t>With scheme forecast year</t>
  </si>
  <si>
    <t>Change</t>
  </si>
  <si>
    <t>Without_scheme_opening_year_exceedance</t>
  </si>
  <si>
    <t>With_scheme_opening_year_exceedance</t>
  </si>
  <si>
    <t>With_scheme_forecast_year_exceedance</t>
  </si>
  <si>
    <t>Without_scheme_forecast_year_exceedance</t>
  </si>
  <si>
    <t>Change_opening_year_exceedance</t>
  </si>
  <si>
    <t>Change_forecast_year_exceedance</t>
  </si>
  <si>
    <t>Without_scheme_opening_year_not_in_exceedance</t>
  </si>
  <si>
    <t>With_scheme_opening_year_not_in_exceedance</t>
  </si>
  <si>
    <t>Change_opening_year_not_in_exceedance</t>
  </si>
  <si>
    <t>Without_scheme_forecast_year_not_in_exceedance</t>
  </si>
  <si>
    <t>With_scheme_forecast_year_not_in_exceedance</t>
  </si>
  <si>
    <t>Change_forecast_year_not_in_exceedance</t>
  </si>
  <si>
    <t>Regional Air Quality</t>
  </si>
  <si>
    <t>Opening year:</t>
  </si>
  <si>
    <t>Forecast year:</t>
  </si>
  <si>
    <t>Data sources:</t>
  </si>
  <si>
    <t>Price base for emission/concentration values</t>
  </si>
  <si>
    <t>(positive values represent a benefit -  an improvement in air quality)</t>
  </si>
  <si>
    <t>Scheme name:</t>
  </si>
  <si>
    <t>Scheme Name:</t>
  </si>
  <si>
    <t>Air Quality  Valuation Workbook - Inputs</t>
  </si>
  <si>
    <t>Air Quality Valuation Workbook - Calculations</t>
  </si>
  <si>
    <t>Air Quality Valuation Workbook - Worksheet 2</t>
  </si>
  <si>
    <t>Air Quality Valuation Workbook - Worksheet 3</t>
  </si>
  <si>
    <t>Air Quality Valuation Workbook</t>
  </si>
  <si>
    <t>TAG Reference</t>
  </si>
  <si>
    <t>TAG Unit A3 - Environmental Impact Appraisal</t>
  </si>
  <si>
    <t>Notes</t>
  </si>
  <si>
    <t>Version Control</t>
  </si>
  <si>
    <t>Date</t>
  </si>
  <si>
    <t>Description</t>
  </si>
  <si>
    <t>Updated GDP/cap and GDP/HH forecasts</t>
  </si>
  <si>
    <t>Spring 2014</t>
  </si>
  <si>
    <t>Updated GDP/cap and GDP/HH forecasts following Budget 2014</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</si>
  <si>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</si>
  <si>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</si>
  <si>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</si>
  <si>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</si>
  <si>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</si>
  <si>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</si>
  <si>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</si>
  <si>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</si>
  <si>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</si>
  <si>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</si>
  <si>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To use this tool, the following are required:</t>
  </si>
  <si>
    <t>Year of appraisal</t>
  </si>
  <si>
    <t>This tool should be used to value changes in air quality in conjunction with TAG unit A3.</t>
  </si>
  <si>
    <t>Opening year and further forecast year of the analysed scheme/policy</t>
  </si>
  <si>
    <t>The PM10 assessment scores and NOx emissions for the with and without scheme cases for the opening and forecast years.</t>
  </si>
  <si>
    <t>NOx emissions in areas exceeding EU limit values in the with and without scheme cases for each year of the appraisal.</t>
  </si>
  <si>
    <t>Cells requiring user inputs on the 'inputs' sheet are shaded light green. The user inputs required are:</t>
  </si>
  <si>
    <t>Scheme opening year</t>
  </si>
  <si>
    <t>Scheme type (road, rail or road/rail)</t>
  </si>
  <si>
    <t>Current year - the year the appraisal is undertaken to ensure the correct profile of discount rates</t>
  </si>
  <si>
    <t>Further forecast year</t>
  </si>
  <si>
    <t>With and without scheme NOx emissions in the opening and forecast years</t>
  </si>
  <si>
    <t>PM10 concentrations (assessment scores)</t>
  </si>
  <si>
    <t>With and without scheme PM10 assessment scores in the opening and forecast years</t>
  </si>
  <si>
    <t>The method used to estimate Nox emissions in areas exceeding EU limit values (where the custom option is used, a profile of the percentage of emissions in areas</t>
  </si>
  <si>
    <t>exceeding limit values is required).</t>
  </si>
  <si>
    <t>The other standard inputs are taken from the TAG data book / guidance:</t>
  </si>
  <si>
    <t>Standard 60-year appraisal period</t>
  </si>
  <si>
    <t>Standard DfT base year for present values and prices</t>
  </si>
  <si>
    <t>HMT profile of discount rates</t>
  </si>
  <si>
    <t>GDP deflator series from TAG data book (if results are required for a different base year)</t>
  </si>
  <si>
    <t>Nox abatement and damage costs and PM10 damage costs</t>
  </si>
  <si>
    <t>Real GDP/cap and GDP/HH series for uprating values over time</t>
  </si>
  <si>
    <t>The 'outputs' sheet produces 'Worksheet 2' as described in TAG Unit A3 and 'Worksheet 3' which summarises the results of the air quality appraisal.</t>
  </si>
  <si>
    <t>Revised workbook structure released as forthcoming change</t>
  </si>
  <si>
    <t>Interpolation_period_length</t>
  </si>
  <si>
    <t>Discount_period_1_mask</t>
  </si>
  <si>
    <t>NOx emissions &amp; PM10 concentrations</t>
  </si>
  <si>
    <t>Discount rate 1</t>
  </si>
  <si>
    <t>Discount rate 2</t>
  </si>
  <si>
    <t>Discount rate 3</t>
  </si>
  <si>
    <t>Emissions and concentrations valuations</t>
  </si>
  <si>
    <t>Discounting and present values</t>
  </si>
  <si>
    <t>PM10 concentrations</t>
  </si>
  <si>
    <t>NOx emissions</t>
  </si>
  <si>
    <t>Income and price adjustment</t>
  </si>
  <si>
    <t>TAG data book v1.5 (July 2016). Table A1.1.1</t>
  </si>
  <si>
    <t>TAG data book v1.5 (July 2016). Annual parameters tab.</t>
  </si>
  <si>
    <t>AQD2013_2015plan_scenario_projections_UK 2013 Base PCM data and See WebTAG Unit A3 para. 3.4.8 Table 2</t>
  </si>
  <si>
    <t>AQD2013_2015plan_scenario_projections_UK 2013 Base PCM data and WebTAG Unit A3 para. 3.4.8 Table 2</t>
  </si>
  <si>
    <t>DEFRA LAQM toolkits (background maps, NOx to NO2). Available at: http://laqm.defra.gov.uk/whatsnew.html</t>
  </si>
  <si>
    <t>SATURN traffic data provided AECOM</t>
  </si>
  <si>
    <t>Warrington Western Link - Pink Route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</si>
</sst>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0.0"/>
    <numFmt numFmtId="166" formatCode="0.0%"/>
    <numFmt numFmtId="167" formatCode="#,##0.0"/>
    <numFmt numFmtId="168" formatCode="0.000"/>
  </numFmts>
  <fonts count="34" x14ac:knownFonts="1">
    <font>
      <sz val="11"/>
      <color theme="1"/>
      <name val="Calibri"/>
      <family val="2"/>
      <scheme val="minor"/>
    </font>
    <font>
      <sz val="14"/>
      <name val="Arial"/>
      <family val="2"/>
    </font>
    <font>
      <sz val="12"/>
      <name val="Arial"/>
      <family val="2"/>
    </font>
    <font>
      <b/>
      <sz val="11"/>
      <name val="Arial"/>
      <family val="2"/>
    </font>
    <font>
      <b/>
      <u/>
      <sz val="11"/>
      <name val="Arial"/>
      <family val="2"/>
    </font>
    <font>
      <u/>
      <sz val="12"/>
      <name val="Arial"/>
      <family val="2"/>
    </font>
    <font>
      <sz val="11"/>
      <name val="Arial"/>
      <family val="2"/>
    </font>
    <font>
      <u/>
      <sz val="10"/>
      <name val="Arial"/>
      <family val="2"/>
    </font>
    <font>
      <sz val="7"/>
      <name val="Arial"/>
      <family val="2"/>
    </font>
    <font>
      <b/>
      <sz val="7"/>
      <name val="Arial"/>
      <family val="2"/>
    </font>
    <font>
      <b/>
      <sz val="12"/>
      <name val="Arial"/>
      <family val="2"/>
    </font>
    <font>
      <sz val="10"/>
      <name val="Arial"/>
      <family val="2"/>
    </font>
    <font>
      <i/>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sz val="11"/>
      <color theme="1"/>
      <name val="Calibri"/>
      <family val="2"/>
      <scheme val="minor"/>
    </font>
    <font>
      <b/>
      <sz val="12"/>
      <color theme="0"/>
      <name val="Arial"/>
      <family val="2"/>
    </font>
    <font>
      <b/>
      <sz val="11"/>
      <name val="Calibri"/>
      <family val="2"/>
      <scheme val="minor"/>
    </font>
    <font>
      <sz val="11"/>
      <name val="Calibri"/>
      <family val="2"/>
      <scheme val="minor"/>
    </font>
    <font>
      <b/>
      <sz val="11"/>
      <color theme="1"/>
      <name val="Calibri"/>
      <family val="2"/>
      <scheme val="minor"/>
    </font>
    <font>
      <sz val="10"/>
      <name val="Arial"/>
      <family val="2"/>
    </font>
    <font>
      <i/>
      <sz val="12"/>
      <color theme="1"/>
      <name val="Calibri"/>
      <family val="2"/>
      <scheme val="minor"/>
    </font>
    <font>
      <i/>
      <sz val="11"/>
      <name val="Calibri"/>
      <family val="2"/>
      <scheme val="minor"/>
    </font>
    <font>
      <b/>
      <i/>
      <sz val="12"/>
      <color theme="1"/>
      <name val="Calibri"/>
      <family val="2"/>
      <scheme val="minor"/>
    </font>
    <font>
      <sz val="12"/>
      <color theme="1"/>
      <name val="Calibri"/>
      <family val="2"/>
      <scheme val="minor"/>
    </font>
    <font>
      <i/>
      <sz val="12"/>
      <name val="Arial"/>
      <family val="2"/>
    </font>
    <font>
      <i/>
      <sz val="10"/>
      <name val="Arial"/>
      <family val="2"/>
    </font>
    <font>
      <sz val="10"/>
      <name val="Arial"/>
      <family val="2"/>
    </font>
    <font>
      <b/>
      <u/>
      <sz val="12"/>
      <name val="Arial"/>
      <family val="2"/>
    </font>
    <font>
      <b/>
      <sz val="10"/>
      <name val="Arial"/>
      <family val="2"/>
    </font>
    <font>
      <b/>
      <u/>
      <sz val="14"/>
      <name val="Arial"/>
      <family val="2"/>
    </font>
    <font>
      <sz val="10"/>
      <color indexed="10"/>
      <name val="Arial"/>
      <family val="2"/>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3" fillId="4" borderId="0"/>
    <xf numFmtId="0" fontId="14" fillId="5" borderId="0"/>
    <xf numFmtId="0" fontId="15" fillId="4" borderId="0"/>
    <xf numFmtId="9" fontId="16" fillId="0" borderId="0" applyFont="0" applyFill="0" applyBorder="0" applyAlignment="0" applyProtection="0"/>
    <xf numFmtId="0" fontId="11" fillId="0" borderId="0"/>
    <xf numFmtId="9" fontId="11" fillId="0" borderId="0" applyFont="0" applyFill="0" applyBorder="0" applyAlignment="0" applyProtection="0"/>
    <xf numFmtId="0" fontId="21" fillId="0" borderId="0"/>
    <xf numFmtId="9" fontId="21" fillId="0" borderId="0" applyFont="0" applyFill="0" applyBorder="0" applyAlignment="0" applyProtection="0"/>
    <xf numFmtId="0" fontId="28" fillId="0" borderId="0"/>
    <xf numFmtId="0" fontId="33" fillId="0" borderId="0" applyNumberFormat="0" applyFill="0" applyBorder="0" applyAlignment="0" applyProtection="0"/>
  </cellStyleXfs>
  <cellXfs count="207">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4" fillId="0" borderId="1" xfId="0" applyFont="1" applyBorder="1"/>
    <xf numFmtId="0" fontId="4" fillId="0" borderId="0" xfId="0" applyFont="1" applyBorder="1"/>
    <xf numFmtId="0" fontId="5" fillId="0" borderId="0" xfId="0" applyFont="1" applyBorder="1"/>
    <xf numFmtId="0" fontId="2" fillId="0" borderId="0" xfId="0" applyFont="1" applyFill="1" applyBorder="1" applyAlignment="1">
      <alignment horizontal="center"/>
    </xf>
    <xf numFmtId="0" fontId="6" fillId="0" borderId="0" xfId="0" applyFont="1"/>
    <xf numFmtId="0" fontId="2" fillId="0" borderId="0" xfId="0" applyFont="1" applyFill="1" applyBorder="1"/>
    <xf numFmtId="0" fontId="3" fillId="0" borderId="0" xfId="0" applyFont="1" applyAlignment="1"/>
    <xf numFmtId="0" fontId="6" fillId="0" borderId="0" xfId="0" applyFont="1" applyAlignment="1"/>
    <xf numFmtId="0" fontId="2" fillId="2" borderId="3" xfId="0" applyFont="1" applyFill="1" applyBorder="1"/>
    <xf numFmtId="0" fontId="4" fillId="2" borderId="0" xfId="0" applyFont="1" applyFill="1" applyBorder="1" applyAlignment="1"/>
    <xf numFmtId="0" fontId="7" fillId="2" borderId="0" xfId="0" applyFont="1" applyFill="1" applyBorder="1" applyAlignment="1"/>
    <xf numFmtId="0" fontId="2" fillId="2" borderId="0" xfId="0" applyFont="1" applyFill="1" applyBorder="1"/>
    <xf numFmtId="0" fontId="3" fillId="2" borderId="0" xfId="0" applyFont="1" applyFill="1" applyBorder="1" applyAlignment="1"/>
    <xf numFmtId="0" fontId="6" fillId="2" borderId="0" xfId="0" applyFont="1" applyFill="1" applyBorder="1" applyAlignment="1">
      <alignment wrapText="1"/>
    </xf>
    <xf numFmtId="0" fontId="6" fillId="2" borderId="0" xfId="0" applyFont="1" applyFill="1" applyBorder="1" applyAlignment="1"/>
    <xf numFmtId="0" fontId="6" fillId="2" borderId="0" xfId="0" applyFont="1" applyFill="1" applyBorder="1"/>
    <xf numFmtId="2" fontId="8" fillId="2" borderId="0" xfId="0" applyNumberFormat="1" applyFont="1" applyFill="1" applyBorder="1" applyAlignment="1">
      <alignment horizontal="left" wrapText="1"/>
    </xf>
    <xf numFmtId="2" fontId="8" fillId="0" borderId="0" xfId="0" applyNumberFormat="1" applyFont="1" applyFill="1" applyBorder="1" applyAlignment="1">
      <alignment horizontal="left" wrapText="1"/>
    </xf>
    <xf numFmtId="0" fontId="2" fillId="2" borderId="4" xfId="0" applyFont="1" applyFill="1" applyBorder="1"/>
    <xf numFmtId="0" fontId="6" fillId="0" borderId="0" xfId="0" applyFont="1" applyBorder="1"/>
    <xf numFmtId="0" fontId="6" fillId="0" borderId="0" xfId="0" applyFont="1" applyFill="1" applyBorder="1"/>
    <xf numFmtId="0" fontId="2" fillId="0" borderId="0" xfId="0" applyFont="1" applyBorder="1"/>
    <xf numFmtId="0" fontId="6" fillId="2" borderId="3" xfId="0" applyFont="1" applyFill="1" applyBorder="1"/>
    <xf numFmtId="0" fontId="0" fillId="2" borderId="0" xfId="0" applyFill="1" applyBorder="1" applyAlignment="1"/>
    <xf numFmtId="0" fontId="10" fillId="0" borderId="0" xfId="0" applyFont="1"/>
    <xf numFmtId="0" fontId="10" fillId="2" borderId="0" xfId="0" applyFont="1" applyFill="1" applyBorder="1"/>
    <xf numFmtId="0" fontId="10" fillId="0" borderId="0" xfId="0" applyFont="1" applyFill="1" applyBorder="1"/>
    <xf numFmtId="0" fontId="4" fillId="2" borderId="0" xfId="0" applyFont="1" applyFill="1" applyBorder="1"/>
    <xf numFmtId="0" fontId="11" fillId="0" borderId="0" xfId="0" applyFont="1" applyAlignment="1"/>
    <xf numFmtId="164" fontId="2" fillId="2" borderId="0" xfId="0" applyNumberFormat="1" applyFont="1" applyFill="1" applyBorder="1"/>
    <xf numFmtId="0" fontId="10" fillId="0" borderId="0" xfId="0" applyFont="1" applyFill="1"/>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0" fontId="6" fillId="3" borderId="3" xfId="0" applyFont="1" applyFill="1" applyBorder="1"/>
    <xf numFmtId="0" fontId="2" fillId="3" borderId="3" xfId="0" applyFont="1" applyFill="1" applyBorder="1"/>
    <xf numFmtId="0" fontId="4" fillId="3" borderId="0" xfId="0" applyFont="1" applyFill="1" applyBorder="1" applyAlignment="1"/>
    <xf numFmtId="0" fontId="7" fillId="3" borderId="0" xfId="0" applyFont="1" applyFill="1" applyBorder="1" applyAlignment="1"/>
    <xf numFmtId="0" fontId="2" fillId="3" borderId="0" xfId="0" applyFont="1" applyFill="1" applyBorder="1"/>
    <xf numFmtId="0" fontId="3" fillId="3" borderId="0" xfId="0" applyFont="1" applyFill="1" applyBorder="1"/>
    <xf numFmtId="0" fontId="6" fillId="3" borderId="0" xfId="0" applyFont="1" applyFill="1" applyBorder="1"/>
    <xf numFmtId="0" fontId="3" fillId="3" borderId="0" xfId="0" applyFont="1" applyFill="1" applyBorder="1" applyAlignment="1"/>
    <xf numFmtId="0" fontId="0" fillId="3" borderId="0" xfId="0" applyFill="1" applyBorder="1" applyAlignment="1"/>
    <xf numFmtId="3" fontId="2" fillId="3" borderId="2" xfId="0" applyNumberFormat="1" applyFont="1" applyFill="1" applyBorder="1" applyAlignment="1">
      <alignment horizontal="center"/>
    </xf>
    <xf numFmtId="0" fontId="6" fillId="3" borderId="0" xfId="0" applyFont="1" applyFill="1" applyBorder="1" applyAlignment="1"/>
    <xf numFmtId="0" fontId="2" fillId="3" borderId="0" xfId="0" applyFont="1" applyFill="1"/>
    <xf numFmtId="0" fontId="6" fillId="3" borderId="4" xfId="0" applyFont="1" applyFill="1" applyBorder="1"/>
    <xf numFmtId="0" fontId="2" fillId="3" borderId="4" xfId="0" applyFont="1" applyFill="1" applyBorder="1"/>
    <xf numFmtId="0" fontId="12" fillId="0" borderId="0" xfId="0" applyFont="1"/>
    <xf numFmtId="2" fontId="0" fillId="0" borderId="0" xfId="0" applyNumberFormat="1"/>
    <xf numFmtId="165" fontId="0" fillId="0" borderId="0" xfId="0" applyNumberFormat="1"/>
    <xf numFmtId="0" fontId="13" fillId="4" borderId="0" xfId="1"/>
    <xf numFmtId="0" fontId="14" fillId="5" borderId="0" xfId="2"/>
    <xf numFmtId="0" fontId="0" fillId="0" borderId="5" xfId="0" applyBorder="1"/>
    <xf numFmtId="1" fontId="0" fillId="0" borderId="5" xfId="0" applyNumberFormat="1" applyBorder="1"/>
    <xf numFmtId="0" fontId="15" fillId="4" borderId="0" xfId="3"/>
    <xf numFmtId="166" fontId="0" fillId="0" borderId="5" xfId="0" applyNumberFormat="1" applyBorder="1"/>
    <xf numFmtId="166" fontId="0" fillId="0" borderId="0" xfId="0" applyNumberFormat="1" applyBorder="1"/>
    <xf numFmtId="0" fontId="12" fillId="0" borderId="0" xfId="0" applyFont="1" applyFill="1" applyBorder="1"/>
    <xf numFmtId="0" fontId="2" fillId="0" borderId="1" xfId="0" applyFont="1" applyBorder="1" applyAlignment="1">
      <alignment horizontal="right"/>
    </xf>
    <xf numFmtId="0" fontId="0" fillId="0" borderId="0" xfId="0" applyBorder="1"/>
    <xf numFmtId="0" fontId="0" fillId="0" borderId="0" xfId="0" applyBorder="1" applyAlignment="1">
      <alignment horizontal="right"/>
    </xf>
    <xf numFmtId="166" fontId="0" fillId="0" borderId="0" xfId="4" applyNumberFormat="1" applyFont="1"/>
    <xf numFmtId="3" fontId="0" fillId="0" borderId="0" xfId="0" applyNumberFormat="1"/>
    <xf numFmtId="0" fontId="13" fillId="4" borderId="0" xfId="1" applyFill="1"/>
    <xf numFmtId="0" fontId="17" fillId="4" borderId="0" xfId="5" applyFont="1" applyFill="1" applyBorder="1" applyAlignment="1"/>
    <xf numFmtId="0" fontId="16" fillId="0" borderId="0" xfId="0" applyFont="1"/>
    <xf numFmtId="0" fontId="18" fillId="0" borderId="0" xfId="5" applyFont="1" applyBorder="1" applyAlignment="1"/>
    <xf numFmtId="0" fontId="19" fillId="0" borderId="0" xfId="5" applyFont="1" applyBorder="1" applyAlignment="1"/>
    <xf numFmtId="167" fontId="2" fillId="0" borderId="0" xfId="5" applyNumberFormat="1" applyFont="1" applyBorder="1"/>
    <xf numFmtId="0" fontId="19" fillId="0" borderId="0" xfId="5" applyFont="1" applyBorder="1"/>
    <xf numFmtId="167" fontId="19" fillId="0" borderId="0" xfId="5" applyNumberFormat="1" applyFont="1" applyBorder="1"/>
    <xf numFmtId="0" fontId="20" fillId="0" borderId="0" xfId="0" applyFont="1"/>
    <xf numFmtId="0" fontId="14" fillId="0" borderId="0" xfId="2" applyFill="1"/>
    <xf numFmtId="0" fontId="0" fillId="0" borderId="0" xfId="0" applyFill="1"/>
    <xf numFmtId="0" fontId="0" fillId="0" borderId="0" xfId="0" applyFont="1"/>
    <xf numFmtId="2" fontId="0" fillId="0" borderId="5" xfId="0" applyNumberFormat="1" applyBorder="1"/>
    <xf numFmtId="3" fontId="19" fillId="0" borderId="0" xfId="5" applyNumberFormat="1" applyFont="1" applyFill="1" applyBorder="1" applyAlignment="1">
      <alignment horizontal="left"/>
    </xf>
    <xf numFmtId="0" fontId="0" fillId="0" borderId="0" xfId="0" applyAlignment="1">
      <alignment horizontal="left"/>
    </xf>
    <xf numFmtId="0" fontId="0" fillId="0" borderId="0" xfId="0" applyAlignment="1">
      <alignment horizontal="left" vertical="top"/>
    </xf>
    <xf numFmtId="0" fontId="0" fillId="5" borderId="0" xfId="0" applyFill="1"/>
    <xf numFmtId="2" fontId="0" fillId="5" borderId="0" xfId="0" applyNumberFormat="1" applyFill="1"/>
    <xf numFmtId="0" fontId="14" fillId="5" borderId="0" xfId="0" applyFont="1" applyFill="1"/>
    <xf numFmtId="0" fontId="22" fillId="0" borderId="0" xfId="2" applyFont="1" applyFill="1"/>
    <xf numFmtId="0" fontId="12" fillId="0" borderId="0" xfId="0" applyFont="1" applyBorder="1"/>
    <xf numFmtId="165" fontId="0" fillId="0" borderId="0" xfId="0" applyNumberFormat="1" applyBorder="1"/>
    <xf numFmtId="0" fontId="0" fillId="5" borderId="0" xfId="0" applyFill="1" applyBorder="1"/>
    <xf numFmtId="1" fontId="0" fillId="0" borderId="0" xfId="0" applyNumberFormat="1" applyBorder="1"/>
    <xf numFmtId="0" fontId="12" fillId="5" borderId="0" xfId="0" applyFont="1" applyFill="1"/>
    <xf numFmtId="167" fontId="19" fillId="0" borderId="0" xfId="5" applyNumberFormat="1" applyFont="1" applyBorder="1" applyAlignment="1">
      <alignment horizontal="left"/>
    </xf>
    <xf numFmtId="3" fontId="19" fillId="0" borderId="0" xfId="5" applyNumberFormat="1" applyFont="1" applyBorder="1" applyAlignment="1">
      <alignment horizontal="left"/>
    </xf>
    <xf numFmtId="0" fontId="23" fillId="0" borderId="0" xfId="5" applyFont="1" applyBorder="1"/>
    <xf numFmtId="3" fontId="19" fillId="0" borderId="0" xfId="7" applyNumberFormat="1" applyFont="1" applyBorder="1" applyAlignment="1">
      <alignment horizontal="left"/>
    </xf>
    <xf numFmtId="3" fontId="19" fillId="0" borderId="5" xfId="0" applyNumberFormat="1" applyFont="1" applyBorder="1"/>
    <xf numFmtId="167" fontId="19" fillId="0" borderId="0" xfId="7" applyNumberFormat="1" applyFont="1" applyBorder="1" applyAlignment="1">
      <alignment horizontal="left"/>
    </xf>
    <xf numFmtId="165" fontId="12" fillId="0" borderId="0" xfId="0" applyNumberFormat="1" applyFont="1"/>
    <xf numFmtId="3" fontId="12" fillId="0" borderId="0" xfId="0" applyNumberFormat="1" applyFont="1"/>
    <xf numFmtId="0" fontId="24" fillId="5" borderId="0" xfId="2" applyFont="1"/>
    <xf numFmtId="0" fontId="14" fillId="0" borderId="0" xfId="0" applyFont="1" applyFill="1"/>
    <xf numFmtId="2" fontId="0" fillId="0" borderId="0" xfId="0" applyNumberFormat="1" applyFill="1"/>
    <xf numFmtId="0" fontId="25" fillId="0" borderId="0" xfId="2" applyFont="1" applyFill="1"/>
    <xf numFmtId="2" fontId="0" fillId="0" borderId="0" xfId="0" applyNumberFormat="1" applyAlignment="1">
      <alignment horizontal="right"/>
    </xf>
    <xf numFmtId="2" fontId="0" fillId="0" borderId="0" xfId="0" applyNumberFormat="1" applyBorder="1"/>
    <xf numFmtId="0" fontId="13" fillId="0" borderId="0" xfId="1" applyFill="1"/>
    <xf numFmtId="0" fontId="17" fillId="0" borderId="0" xfId="5" applyFont="1" applyFill="1" applyBorder="1" applyAlignment="1"/>
    <xf numFmtId="0" fontId="0" fillId="0" borderId="0" xfId="0" applyAlignment="1">
      <alignment wrapText="1"/>
    </xf>
    <xf numFmtId="0" fontId="14" fillId="5" borderId="0" xfId="2" applyAlignment="1">
      <alignment wrapText="1"/>
    </xf>
    <xf numFmtId="1" fontId="0" fillId="0" borderId="0" xfId="0" applyNumberFormat="1"/>
    <xf numFmtId="0" fontId="22" fillId="5" borderId="0" xfId="2" applyFont="1"/>
    <xf numFmtId="2" fontId="14" fillId="5" borderId="0" xfId="2" applyNumberFormat="1"/>
    <xf numFmtId="2" fontId="14" fillId="5" borderId="0" xfId="0" applyNumberFormat="1" applyFont="1" applyFill="1"/>
    <xf numFmtId="0" fontId="24" fillId="5" borderId="0" xfId="0" applyFont="1" applyFill="1" applyBorder="1"/>
    <xf numFmtId="0" fontId="24" fillId="5" borderId="0" xfId="0" applyFont="1" applyFill="1"/>
    <xf numFmtId="167" fontId="19" fillId="0" borderId="5" xfId="5" applyNumberFormat="1" applyFont="1" applyBorder="1" applyAlignment="1">
      <alignment horizontal="right"/>
    </xf>
    <xf numFmtId="3" fontId="20" fillId="0" borderId="0" xfId="0" applyNumberFormat="1" applyFont="1"/>
    <xf numFmtId="164" fontId="2" fillId="0" borderId="0" xfId="0" applyNumberFormat="1" applyFont="1" applyFill="1" applyBorder="1" applyAlignment="1"/>
    <xf numFmtId="164" fontId="2" fillId="0" borderId="0" xfId="0" applyNumberFormat="1" applyFont="1" applyFill="1" applyBorder="1" applyAlignment="1">
      <alignment horizontal="center"/>
    </xf>
    <xf numFmtId="3" fontId="2" fillId="3" borderId="0" xfId="0" applyNumberFormat="1" applyFont="1" applyFill="1" applyBorder="1" applyAlignment="1">
      <alignment horizontal="center"/>
    </xf>
    <xf numFmtId="166" fontId="19" fillId="0" borderId="5" xfId="5" applyNumberFormat="1" applyFont="1" applyBorder="1"/>
    <xf numFmtId="166" fontId="19" fillId="0" borderId="5" xfId="0" applyNumberFormat="1" applyFont="1" applyBorder="1"/>
    <xf numFmtId="166" fontId="18" fillId="0" borderId="5" xfId="5" applyNumberFormat="1" applyFont="1" applyBorder="1"/>
    <xf numFmtId="166" fontId="20" fillId="0" borderId="5" xfId="0" applyNumberFormat="1" applyFont="1" applyBorder="1"/>
    <xf numFmtId="10" fontId="18" fillId="0" borderId="5" xfId="5" applyNumberFormat="1" applyFont="1" applyBorder="1"/>
    <xf numFmtId="10" fontId="20" fillId="0" borderId="5" xfId="0" applyNumberFormat="1" applyFont="1" applyBorder="1"/>
    <xf numFmtId="0" fontId="27" fillId="0" borderId="0" xfId="0" applyFont="1" applyAlignment="1">
      <alignment wrapText="1"/>
    </xf>
    <xf numFmtId="0" fontId="14" fillId="5" borderId="0" xfId="1" applyFont="1" applyFill="1"/>
    <xf numFmtId="0" fontId="14" fillId="5" borderId="0" xfId="5" applyFont="1" applyFill="1" applyBorder="1" applyAlignment="1"/>
    <xf numFmtId="0" fontId="26" fillId="0" borderId="0" xfId="0" applyFont="1" applyAlignment="1"/>
    <xf numFmtId="0" fontId="27" fillId="0" borderId="0" xfId="0" applyFont="1" applyAlignment="1"/>
    <xf numFmtId="0" fontId="23" fillId="0" borderId="0" xfId="0" applyFont="1" applyAlignment="1"/>
    <xf numFmtId="2" fontId="12" fillId="0" borderId="0" xfId="0" applyNumberFormat="1" applyFont="1" applyBorder="1"/>
    <xf numFmtId="2" fontId="19" fillId="2" borderId="5" xfId="0" applyNumberFormat="1" applyFont="1" applyFill="1" applyBorder="1" applyAlignment="1" applyProtection="1">
      <alignment horizontal="right" vertical="center"/>
      <protection hidden="1"/>
    </xf>
    <xf numFmtId="4" fontId="19" fillId="2" borderId="5" xfId="0" applyNumberFormat="1" applyFont="1" applyFill="1" applyBorder="1" applyAlignment="1" applyProtection="1">
      <alignment horizontal="right" vertical="center" wrapText="1"/>
      <protection hidden="1"/>
    </xf>
    <xf numFmtId="3" fontId="19" fillId="0" borderId="5" xfId="5" applyNumberFormat="1" applyFont="1" applyBorder="1" applyAlignment="1">
      <alignment horizontal="right"/>
    </xf>
    <xf numFmtId="167" fontId="19" fillId="0" borderId="5" xfId="7" applyNumberFormat="1" applyFont="1" applyBorder="1" applyAlignment="1">
      <alignment horizontal="right"/>
    </xf>
    <xf numFmtId="0" fontId="20" fillId="0" borderId="0" xfId="1" applyFont="1" applyFill="1"/>
    <xf numFmtId="0" fontId="20" fillId="0" borderId="0" xfId="5" applyFont="1" applyFill="1" applyBorder="1" applyAlignment="1"/>
    <xf numFmtId="0" fontId="16" fillId="0" borderId="0" xfId="2" applyFont="1" applyFill="1"/>
    <xf numFmtId="0" fontId="0" fillId="0" borderId="0" xfId="2" applyFont="1" applyFill="1"/>
    <xf numFmtId="0" fontId="12" fillId="0" borderId="0" xfId="2" applyFont="1" applyFill="1"/>
    <xf numFmtId="0" fontId="16" fillId="0" borderId="0" xfId="2" applyFont="1" applyFill="1" applyAlignment="1">
      <alignment horizontal="left"/>
    </xf>
    <xf numFmtId="2" fontId="14" fillId="0" borderId="0" xfId="0" applyNumberFormat="1" applyFont="1" applyFill="1"/>
    <xf numFmtId="0" fontId="24" fillId="0" borderId="0" xfId="0" applyFont="1" applyFill="1"/>
    <xf numFmtId="0" fontId="0" fillId="0" borderId="0" xfId="0" applyFont="1" applyFill="1"/>
    <xf numFmtId="0" fontId="12" fillId="0" borderId="0" xfId="0" applyFont="1" applyFill="1"/>
    <xf numFmtId="2" fontId="0" fillId="0" borderId="0" xfId="0" applyNumberFormat="1" applyFont="1" applyFill="1"/>
    <xf numFmtId="0" fontId="24" fillId="0" borderId="0" xfId="0" applyFont="1" applyFill="1" applyBorder="1"/>
    <xf numFmtId="3" fontId="19" fillId="0" borderId="0" xfId="5" applyNumberFormat="1" applyFont="1" applyBorder="1" applyAlignment="1">
      <alignment horizontal="right"/>
    </xf>
    <xf numFmtId="3" fontId="19" fillId="0" borderId="0" xfId="0" applyNumberFormat="1" applyFont="1" applyBorder="1"/>
    <xf numFmtId="1" fontId="0" fillId="5" borderId="0" xfId="0" applyNumberFormat="1" applyFill="1" applyBorder="1"/>
    <xf numFmtId="0" fontId="2" fillId="0" borderId="0" xfId="9" applyFont="1"/>
    <xf numFmtId="0" fontId="2" fillId="0" borderId="9" xfId="9" applyFont="1" applyBorder="1"/>
    <xf numFmtId="0" fontId="2" fillId="0" borderId="10" xfId="9" applyFont="1" applyBorder="1"/>
    <xf numFmtId="0" fontId="2" fillId="0" borderId="11" xfId="9" applyFont="1" applyBorder="1"/>
    <xf numFmtId="0" fontId="2" fillId="0" borderId="12" xfId="9" applyFont="1" applyBorder="1"/>
    <xf numFmtId="0" fontId="10" fillId="0" borderId="0" xfId="9" applyFont="1" applyBorder="1"/>
    <xf numFmtId="0" fontId="2" fillId="0" borderId="0" xfId="9" applyFont="1" applyBorder="1"/>
    <xf numFmtId="0" fontId="2" fillId="0" borderId="13" xfId="9" applyFont="1" applyBorder="1"/>
    <xf numFmtId="0" fontId="2" fillId="0" borderId="1" xfId="9" applyFont="1" applyBorder="1" applyAlignment="1">
      <alignment horizontal="left"/>
    </xf>
    <xf numFmtId="0" fontId="2" fillId="0" borderId="0" xfId="9" applyFont="1" applyBorder="1" applyAlignment="1">
      <alignment horizontal="right"/>
    </xf>
    <xf numFmtId="0" fontId="2" fillId="0" borderId="14" xfId="9" applyFont="1" applyBorder="1"/>
    <xf numFmtId="0" fontId="2" fillId="0" borderId="15" xfId="9" applyFont="1" applyBorder="1"/>
    <xf numFmtId="0" fontId="2" fillId="0" borderId="16" xfId="9" applyFont="1" applyBorder="1"/>
    <xf numFmtId="0" fontId="22" fillId="5" borderId="0" xfId="0" applyFont="1" applyFill="1" applyBorder="1"/>
    <xf numFmtId="2" fontId="25" fillId="5" borderId="0" xfId="0" applyNumberFormat="1" applyFont="1" applyFill="1"/>
    <xf numFmtId="0" fontId="20" fillId="0" borderId="0" xfId="0" applyNumberFormat="1" applyFont="1" applyFill="1"/>
    <xf numFmtId="2" fontId="12" fillId="0" borderId="0" xfId="0" applyNumberFormat="1" applyFont="1"/>
    <xf numFmtId="0" fontId="10" fillId="0" borderId="0" xfId="9" applyFont="1" applyBorder="1" applyAlignment="1">
      <alignment horizontal="left"/>
    </xf>
    <xf numFmtId="2" fontId="2" fillId="0" borderId="19" xfId="9" applyNumberFormat="1" applyFont="1" applyBorder="1" applyAlignment="1">
      <alignment horizontal="center" vertical="center"/>
    </xf>
    <xf numFmtId="2" fontId="2" fillId="0" borderId="2" xfId="9" applyNumberFormat="1" applyFont="1" applyBorder="1" applyAlignment="1">
      <alignment horizontal="center" vertical="center"/>
    </xf>
    <xf numFmtId="2" fontId="2" fillId="0" borderId="20" xfId="9" applyNumberFormat="1" applyFont="1" applyBorder="1" applyAlignment="1">
      <alignment horizontal="center" vertical="center"/>
    </xf>
    <xf numFmtId="2" fontId="2" fillId="0" borderId="21" xfId="9" applyNumberFormat="1" applyFont="1" applyBorder="1" applyAlignment="1">
      <alignment horizontal="center" vertical="center"/>
    </xf>
    <xf numFmtId="0" fontId="31" fillId="0" borderId="0" xfId="9" applyFont="1" applyBorder="1"/>
    <xf numFmtId="0" fontId="15" fillId="4" borderId="12" xfId="3" applyBorder="1"/>
    <xf numFmtId="0" fontId="15" fillId="4" borderId="0" xfId="3" applyBorder="1"/>
    <xf numFmtId="0" fontId="15" fillId="4" borderId="13" xfId="3" applyBorder="1"/>
    <xf numFmtId="0" fontId="2" fillId="0" borderId="20" xfId="9" applyFont="1" applyBorder="1"/>
    <xf numFmtId="0" fontId="2" fillId="0" borderId="2" xfId="9" applyFont="1" applyBorder="1"/>
    <xf numFmtId="0" fontId="2" fillId="0" borderId="2" xfId="9" applyFont="1" applyBorder="1" applyAlignment="1">
      <alignment vertical="center" wrapText="1"/>
    </xf>
    <xf numFmtId="0" fontId="2" fillId="0" borderId="2" xfId="9" applyFont="1" applyBorder="1" applyAlignment="1">
      <alignment wrapText="1"/>
    </xf>
    <xf numFmtId="0" fontId="29" fillId="0" borderId="0" xfId="9" applyFont="1" applyBorder="1" applyAlignment="1">
      <alignment horizontal="right"/>
    </xf>
    <xf numFmtId="0" fontId="0" fillId="5" borderId="5" xfId="0" applyFill="1" applyBorder="1"/>
    <xf numFmtId="165" fontId="0" fillId="5" borderId="5" xfId="0" applyNumberFormat="1" applyFill="1" applyBorder="1" applyAlignment="1">
      <alignment horizontal="left"/>
    </xf>
    <xf numFmtId="0" fontId="0" fillId="5" borderId="5" xfId="0" applyFill="1" applyBorder="1" applyAlignment="1">
      <alignment horizontal="left"/>
    </xf>
    <xf numFmtId="0" fontId="32" fillId="2" borderId="0" xfId="0" applyFont="1" applyFill="1"/>
    <xf numFmtId="0" fontId="11" fillId="2" borderId="0" xfId="0" applyFont="1" applyFill="1"/>
    <xf numFmtId="0" fontId="7" fillId="2" borderId="0" xfId="0" applyFont="1" applyFill="1"/>
    <xf numFmtId="17" fontId="11" fillId="2" borderId="0" xfId="0" applyNumberFormat="1" applyFont="1" applyFill="1" applyAlignment="1">
      <alignment horizontal="left"/>
    </xf>
    <xf numFmtId="0" fontId="11" fillId="0" borderId="0" xfId="0" applyFont="1" applyFill="1"/>
    <xf numFmtId="14" fontId="11" fillId="2" borderId="0" xfId="0" applyNumberFormat="1" applyFont="1" applyFill="1" applyAlignment="1">
      <alignment horizontal="left"/>
    </xf>
    <xf numFmtId="0" fontId="33" fillId="2" borderId="0" xfId="10" applyFill="1"/>
    <xf numFmtId="166" fontId="0" fillId="5" borderId="5" xfId="0" applyNumberFormat="1" applyFill="1" applyBorder="1"/>
    <xf numFmtId="168" fontId="0" fillId="5" borderId="5" xfId="0" applyNumberFormat="1" applyFill="1" applyBorder="1" applyAlignment="1">
      <alignment horizontal="left"/>
    </xf>
    <xf numFmtId="0" fontId="0" fillId="5" borderId="6" xfId="0" applyFill="1" applyBorder="1" applyAlignment="1"/>
    <xf numFmtId="0" fontId="0" fillId="5" borderId="7" xfId="0" applyFill="1" applyBorder="1" applyAlignment="1"/>
    <xf numFmtId="0" fontId="0" fillId="5" borderId="8" xfId="0" applyFill="1" applyBorder="1" applyAlignment="1"/>
    <xf numFmtId="0" fontId="10" fillId="0" borderId="19" xfId="9" applyFont="1" applyBorder="1" applyAlignment="1">
      <alignment vertical="center" wrapText="1"/>
    </xf>
    <xf numFmtId="0" fontId="30" fillId="0" borderId="22" xfId="9" applyFont="1" applyBorder="1" applyAlignment="1">
      <alignment vertical="center" wrapText="1"/>
    </xf>
    <xf numFmtId="0" fontId="2" fillId="0" borderId="1" xfId="9" applyFont="1" applyFill="1" applyBorder="1" applyAlignment="1">
      <alignment wrapText="1"/>
    </xf>
    <xf numFmtId="0" fontId="2" fillId="0" borderId="1" xfId="9" applyFont="1" applyBorder="1" applyAlignment="1">
      <alignment horizontal="left" wrapText="1"/>
    </xf>
    <xf numFmtId="0" fontId="2" fillId="0" borderId="1" xfId="9" applyFont="1" applyBorder="1" applyAlignment="1">
      <alignment wrapText="1"/>
    </xf>
    <xf numFmtId="0" fontId="10" fillId="0" borderId="17" xfId="9" applyFont="1" applyBorder="1" applyAlignment="1"/>
    <xf numFmtId="0" fontId="10" fillId="0" borderId="18" xfId="9" applyFont="1" applyBorder="1" applyAlignment="1"/>
  </cellXfs>
  <cellStyles count="11">
    <cellStyle name="Headers" xfId="1"/>
    <cellStyle name="Hyperlink" xfId="10" builtinId="8"/>
    <cellStyle name="Normal" xfId="0" builtinId="0"/>
    <cellStyle name="Normal 2" xfId="5"/>
    <cellStyle name="Normal 3" xfId="7"/>
    <cellStyle name="Normal 4" xfId="9"/>
    <cellStyle name="Percent" xfId="4" builtinId="5"/>
    <cellStyle name="Percent 2" xfId="6"/>
    <cellStyle name="Percent 3" xfId="8"/>
    <cellStyle name="Style 1" xfId="3"/>
    <cellStyle name="Sub-headers" xfId="2"/>
  </cellStyles>
  <dxfs count="185">
    <dxf>
      <font>
        <i/>
      </font>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s>
  <tableStyles count="0" defaultTableStyle="TableStyleMedium2" defaultPivotStyle="PivotStyleLight16"/>
  <colors>
    <mruColors>
      <color rgb="FF00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delete3" displayName="delete3" ref="D173:CQ175" headerRowCount="0" totalsRowShown="0" headerRowDxfId="184">
  <tableColumns count="92">
    <tableColumn id="1" name="Column1" headerRowDxfId="183" dataDxfId="182">
      <calculatedColumnFormula>GDP_deflator_in</calculatedColumnFormula>
    </tableColumn>
    <tableColumn id="2" name="Column2" headerRowDxfId="181" dataDxfId="180">
      <calculatedColumnFormula>GDP_deflator_in</calculatedColumnFormula>
    </tableColumn>
    <tableColumn id="3" name="Column3" headerRowDxfId="179" dataDxfId="178">
      <calculatedColumnFormula>GDP_deflator_in</calculatedColumnFormula>
    </tableColumn>
    <tableColumn id="4" name="Column4" headerRowDxfId="177" dataDxfId="176">
      <calculatedColumnFormula>GDP_deflator_in</calculatedColumnFormula>
    </tableColumn>
    <tableColumn id="5" name="Column5" headerRowDxfId="175" dataDxfId="174">
      <calculatedColumnFormula>GDP_deflator_in</calculatedColumnFormula>
    </tableColumn>
    <tableColumn id="6" name="Column6" headerRowDxfId="173" dataDxfId="172">
      <calculatedColumnFormula>GDP_deflator_in</calculatedColumnFormula>
    </tableColumn>
    <tableColumn id="7" name="Column7" headerRowDxfId="171" dataDxfId="170">
      <calculatedColumnFormula>GDP_deflator_in</calculatedColumnFormula>
    </tableColumn>
    <tableColumn id="8" name="Column8" headerRowDxfId="169" dataDxfId="168">
      <calculatedColumnFormula>GDP_deflator_in</calculatedColumnFormula>
    </tableColumn>
    <tableColumn id="9" name="Column9" headerRowDxfId="167" dataDxfId="166">
      <calculatedColumnFormula>GDP_deflator_in</calculatedColumnFormula>
    </tableColumn>
    <tableColumn id="10" name="Column10" headerRowDxfId="165" dataDxfId="164">
      <calculatedColumnFormula>GDP_deflator_in</calculatedColumnFormula>
    </tableColumn>
    <tableColumn id="11" name="Column11" headerRowDxfId="163" dataDxfId="162">
      <calculatedColumnFormula>GDP_deflator_in</calculatedColumnFormula>
    </tableColumn>
    <tableColumn id="12" name="Column12" headerRowDxfId="161" dataDxfId="160">
      <calculatedColumnFormula>GDP_deflator_in</calculatedColumnFormula>
    </tableColumn>
    <tableColumn id="13" name="Column13" headerRowDxfId="159" dataDxfId="158">
      <calculatedColumnFormula>GDP_deflator_in</calculatedColumnFormula>
    </tableColumn>
    <tableColumn id="14" name="Column14" headerRowDxfId="157" dataDxfId="156">
      <calculatedColumnFormula>GDP_deflator_in</calculatedColumnFormula>
    </tableColumn>
    <tableColumn id="15" name="Column15" headerRowDxfId="155" dataDxfId="154">
      <calculatedColumnFormula>GDP_deflator_in</calculatedColumnFormula>
    </tableColumn>
    <tableColumn id="16" name="Column16" headerRowDxfId="153" dataDxfId="152">
      <calculatedColumnFormula>GDP_deflator_in</calculatedColumnFormula>
    </tableColumn>
    <tableColumn id="17" name="Column17" headerRowDxfId="151" dataDxfId="150">
      <calculatedColumnFormula>GDP_deflator_in</calculatedColumnFormula>
    </tableColumn>
    <tableColumn id="18" name="Column18" headerRowDxfId="149" dataDxfId="148">
      <calculatedColumnFormula>GDP_deflator_in</calculatedColumnFormula>
    </tableColumn>
    <tableColumn id="19" name="Column19" headerRowDxfId="147" dataDxfId="146">
      <calculatedColumnFormula>GDP_deflator_in</calculatedColumnFormula>
    </tableColumn>
    <tableColumn id="20" name="Column20" headerRowDxfId="145" dataDxfId="144">
      <calculatedColumnFormula>GDP_deflator_in</calculatedColumnFormula>
    </tableColumn>
    <tableColumn id="21" name="Column21" headerRowDxfId="143" dataDxfId="142">
      <calculatedColumnFormula>GDP_deflator_in</calculatedColumnFormula>
    </tableColumn>
    <tableColumn id="22" name="Column22" headerRowDxfId="141" dataDxfId="140">
      <calculatedColumnFormula>GDP_deflator_in</calculatedColumnFormula>
    </tableColumn>
    <tableColumn id="23" name="Column23" headerRowDxfId="139" dataDxfId="138">
      <calculatedColumnFormula>GDP_deflator_in</calculatedColumnFormula>
    </tableColumn>
    <tableColumn id="24" name="Column24" headerRowDxfId="137" dataDxfId="136">
      <calculatedColumnFormula>GDP_deflator_in</calculatedColumnFormula>
    </tableColumn>
    <tableColumn id="25" name="Column25" headerRowDxfId="135" dataDxfId="134">
      <calculatedColumnFormula>GDP_deflator_in</calculatedColumnFormula>
    </tableColumn>
    <tableColumn id="26" name="Column26" headerRowDxfId="133" dataDxfId="132">
      <calculatedColumnFormula>GDP_deflator_in</calculatedColumnFormula>
    </tableColumn>
    <tableColumn id="27" name="Column27" headerRowDxfId="131" dataDxfId="130">
      <calculatedColumnFormula>GDP_deflator_in</calculatedColumnFormula>
    </tableColumn>
    <tableColumn id="28" name="Column28" headerRowDxfId="129" dataDxfId="128">
      <calculatedColumnFormula>GDP_deflator_in</calculatedColumnFormula>
    </tableColumn>
    <tableColumn id="29" name="Column29" headerRowDxfId="127" dataDxfId="126">
      <calculatedColumnFormula>GDP_deflator_in</calculatedColumnFormula>
    </tableColumn>
    <tableColumn id="30" name="Column30" headerRowDxfId="125" dataDxfId="124">
      <calculatedColumnFormula>GDP_deflator_in</calculatedColumnFormula>
    </tableColumn>
    <tableColumn id="31" name="Column31" headerRowDxfId="123" dataDxfId="122">
      <calculatedColumnFormula>GDP_deflator_in</calculatedColumnFormula>
    </tableColumn>
    <tableColumn id="32" name="Column32" headerRowDxfId="121" dataDxfId="120">
      <calculatedColumnFormula>GDP_deflator_in</calculatedColumnFormula>
    </tableColumn>
    <tableColumn id="33" name="Column33" headerRowDxfId="119" dataDxfId="118">
      <calculatedColumnFormula>GDP_deflator_in</calculatedColumnFormula>
    </tableColumn>
    <tableColumn id="34" name="Column34" headerRowDxfId="117" dataDxfId="116">
      <calculatedColumnFormula>GDP_deflator_in</calculatedColumnFormula>
    </tableColumn>
    <tableColumn id="35" name="Column35" headerRowDxfId="115" dataDxfId="114">
      <calculatedColumnFormula>GDP_deflator_in</calculatedColumnFormula>
    </tableColumn>
    <tableColumn id="36" name="Column36" headerRowDxfId="113" dataDxfId="112">
      <calculatedColumnFormula>GDP_deflator_in</calculatedColumnFormula>
    </tableColumn>
    <tableColumn id="37" name="Column37" headerRowDxfId="111" dataDxfId="110">
      <calculatedColumnFormula>GDP_deflator_in</calculatedColumnFormula>
    </tableColumn>
    <tableColumn id="38" name="Column38" headerRowDxfId="109" dataDxfId="108">
      <calculatedColumnFormula>GDP_deflator_in</calculatedColumnFormula>
    </tableColumn>
    <tableColumn id="39" name="Column39" headerRowDxfId="107" dataDxfId="106">
      <calculatedColumnFormula>GDP_deflator_in</calculatedColumnFormula>
    </tableColumn>
    <tableColumn id="40" name="Column40" headerRowDxfId="105" dataDxfId="104">
      <calculatedColumnFormula>GDP_deflator_in</calculatedColumnFormula>
    </tableColumn>
    <tableColumn id="41" name="Column41" headerRowDxfId="103" dataDxfId="102">
      <calculatedColumnFormula>GDP_deflator_in</calculatedColumnFormula>
    </tableColumn>
    <tableColumn id="42" name="Column42" headerRowDxfId="101" dataDxfId="100">
      <calculatedColumnFormula>GDP_deflator_in</calculatedColumnFormula>
    </tableColumn>
    <tableColumn id="43" name="Column43" headerRowDxfId="99" dataDxfId="98">
      <calculatedColumnFormula>GDP_deflator_in</calculatedColumnFormula>
    </tableColumn>
    <tableColumn id="44" name="Column44" headerRowDxfId="97" dataDxfId="96">
      <calculatedColumnFormula>GDP_deflator_in</calculatedColumnFormula>
    </tableColumn>
    <tableColumn id="45" name="Column45" headerRowDxfId="95" dataDxfId="94">
      <calculatedColumnFormula>GDP_deflator_in</calculatedColumnFormula>
    </tableColumn>
    <tableColumn id="46" name="Column46" headerRowDxfId="93" dataDxfId="92">
      <calculatedColumnFormula>GDP_deflator_in</calculatedColumnFormula>
    </tableColumn>
    <tableColumn id="47" name="Column47" headerRowDxfId="91" dataDxfId="90">
      <calculatedColumnFormula>GDP_deflator_in</calculatedColumnFormula>
    </tableColumn>
    <tableColumn id="48" name="Column48" headerRowDxfId="89" dataDxfId="88">
      <calculatedColumnFormula>GDP_deflator_in</calculatedColumnFormula>
    </tableColumn>
    <tableColumn id="49" name="Column49" headerRowDxfId="87" dataDxfId="86">
      <calculatedColumnFormula>GDP_deflator_in</calculatedColumnFormula>
    </tableColumn>
    <tableColumn id="50" name="Column50" headerRowDxfId="85" dataDxfId="84">
      <calculatedColumnFormula>GDP_deflator_in</calculatedColumnFormula>
    </tableColumn>
    <tableColumn id="51" name="Column51" headerRowDxfId="83" dataDxfId="82">
      <calculatedColumnFormula>GDP_deflator_in</calculatedColumnFormula>
    </tableColumn>
    <tableColumn id="52" name="Column52" headerRowDxfId="81" dataDxfId="80">
      <calculatedColumnFormula>GDP_deflator_in</calculatedColumnFormula>
    </tableColumn>
    <tableColumn id="53" name="Column53" headerRowDxfId="79" dataDxfId="78">
      <calculatedColumnFormula>GDP_deflator_in</calculatedColumnFormula>
    </tableColumn>
    <tableColumn id="54" name="Column54" headerRowDxfId="77" dataDxfId="76">
      <calculatedColumnFormula>GDP_deflator_in</calculatedColumnFormula>
    </tableColumn>
    <tableColumn id="55" name="Column55" headerRowDxfId="75" dataDxfId="74">
      <calculatedColumnFormula>GDP_deflator_in</calculatedColumnFormula>
    </tableColumn>
    <tableColumn id="56" name="Column56" headerRowDxfId="73" dataDxfId="72">
      <calculatedColumnFormula>GDP_deflator_in</calculatedColumnFormula>
    </tableColumn>
    <tableColumn id="57" name="Column57" headerRowDxfId="71" dataDxfId="70">
      <calculatedColumnFormula>GDP_deflator_in</calculatedColumnFormula>
    </tableColumn>
    <tableColumn id="58" name="Column58" headerRowDxfId="69" dataDxfId="68">
      <calculatedColumnFormula>GDP_deflator_in</calculatedColumnFormula>
    </tableColumn>
    <tableColumn id="59" name="Column59" headerRowDxfId="67" dataDxfId="66">
      <calculatedColumnFormula>GDP_deflator_in</calculatedColumnFormula>
    </tableColumn>
    <tableColumn id="60" name="Column60" headerRowDxfId="65" dataDxfId="64">
      <calculatedColumnFormula>GDP_deflator_in</calculatedColumnFormula>
    </tableColumn>
    <tableColumn id="61" name="Column61" headerRowDxfId="63" dataDxfId="62">
      <calculatedColumnFormula>GDP_deflator_in</calculatedColumnFormula>
    </tableColumn>
    <tableColumn id="62" name="Column62" headerRowDxfId="61" dataDxfId="60">
      <calculatedColumnFormula>GDP_deflator_in</calculatedColumnFormula>
    </tableColumn>
    <tableColumn id="63" name="Column63" headerRowDxfId="59" dataDxfId="58">
      <calculatedColumnFormula>GDP_deflator_in</calculatedColumnFormula>
    </tableColumn>
    <tableColumn id="64" name="Column64" headerRowDxfId="57" dataDxfId="56">
      <calculatedColumnFormula>GDP_deflator_in</calculatedColumnFormula>
    </tableColumn>
    <tableColumn id="65" name="Column65" headerRowDxfId="55" dataDxfId="54">
      <calculatedColumnFormula>GDP_deflator_in</calculatedColumnFormula>
    </tableColumn>
    <tableColumn id="66" name="Column66" headerRowDxfId="53" dataDxfId="52">
      <calculatedColumnFormula>GDP_deflator_in</calculatedColumnFormula>
    </tableColumn>
    <tableColumn id="67" name="Column67" headerRowDxfId="51" dataDxfId="50">
      <calculatedColumnFormula>GDP_deflator_in</calculatedColumnFormula>
    </tableColumn>
    <tableColumn id="68" name="Column68" headerRowDxfId="49" dataDxfId="48">
      <calculatedColumnFormula>GDP_deflator_in</calculatedColumnFormula>
    </tableColumn>
    <tableColumn id="69" name="Column69" headerRowDxfId="47" dataDxfId="46">
      <calculatedColumnFormula>GDP_deflator_in</calculatedColumnFormula>
    </tableColumn>
    <tableColumn id="70" name="Column70" headerRowDxfId="45" dataDxfId="44">
      <calculatedColumnFormula>GDP_deflator_in</calculatedColumnFormula>
    </tableColumn>
    <tableColumn id="71" name="Column71" headerRowDxfId="43" dataDxfId="42">
      <calculatedColumnFormula>GDP_deflator_in</calculatedColumnFormula>
    </tableColumn>
    <tableColumn id="72" name="Column72" headerRowDxfId="41" dataDxfId="40">
      <calculatedColumnFormula>GDP_deflator_in</calculatedColumnFormula>
    </tableColumn>
    <tableColumn id="73" name="Column73" headerRowDxfId="39" dataDxfId="38">
      <calculatedColumnFormula>GDP_deflator_in</calculatedColumnFormula>
    </tableColumn>
    <tableColumn id="74" name="Column74" headerRowDxfId="37" dataDxfId="36">
      <calculatedColumnFormula>GDP_deflator_in</calculatedColumnFormula>
    </tableColumn>
    <tableColumn id="75" name="Column75" headerRowDxfId="35" dataDxfId="34">
      <calculatedColumnFormula>GDP_deflator_in</calculatedColumnFormula>
    </tableColumn>
    <tableColumn id="76" name="Column76" headerRowDxfId="33" dataDxfId="32">
      <calculatedColumnFormula>GDP_deflator_in</calculatedColumnFormula>
    </tableColumn>
    <tableColumn id="77" name="Column77" headerRowDxfId="31" dataDxfId="30">
      <calculatedColumnFormula>GDP_deflator_in</calculatedColumnFormula>
    </tableColumn>
    <tableColumn id="78" name="Column78" headerRowDxfId="29" dataDxfId="28">
      <calculatedColumnFormula>GDP_deflator_in</calculatedColumnFormula>
    </tableColumn>
    <tableColumn id="79" name="Column79" headerRowDxfId="27" dataDxfId="26">
      <calculatedColumnFormula>GDP_deflator_in</calculatedColumnFormula>
    </tableColumn>
    <tableColumn id="80" name="Column80" headerRowDxfId="25" dataDxfId="24">
      <calculatedColumnFormula>GDP_deflator_in</calculatedColumnFormula>
    </tableColumn>
    <tableColumn id="81" name="Column81" headerRowDxfId="23" dataDxfId="22">
      <calculatedColumnFormula>GDP_deflator_in</calculatedColumnFormula>
    </tableColumn>
    <tableColumn id="82" name="Column82" headerRowDxfId="21" dataDxfId="20">
      <calculatedColumnFormula>GDP_deflator_in</calculatedColumnFormula>
    </tableColumn>
    <tableColumn id="83" name="Column83" headerRowDxfId="19" dataDxfId="18">
      <calculatedColumnFormula>GDP_deflator_in</calculatedColumnFormula>
    </tableColumn>
    <tableColumn id="84" name="Column84" headerRowDxfId="17" dataDxfId="16">
      <calculatedColumnFormula>GDP_deflator_in</calculatedColumnFormula>
    </tableColumn>
    <tableColumn id="85" name="Column85" headerRowDxfId="15" dataDxfId="14">
      <calculatedColumnFormula>GDP_deflator_in</calculatedColumnFormula>
    </tableColumn>
    <tableColumn id="86" name="Column86" headerRowDxfId="13" dataDxfId="12">
      <calculatedColumnFormula>GDP_deflator_in</calculatedColumnFormula>
    </tableColumn>
    <tableColumn id="87" name="Column87" headerRowDxfId="11" dataDxfId="10">
      <calculatedColumnFormula>GDP_deflator_in</calculatedColumnFormula>
    </tableColumn>
    <tableColumn id="88" name="Column88" headerRowDxfId="9" dataDxfId="8">
      <calculatedColumnFormula>GDP_deflator_in</calculatedColumnFormula>
    </tableColumn>
    <tableColumn id="89" name="Column89" headerRowDxfId="7" dataDxfId="6">
      <calculatedColumnFormula>GDP_deflator_in</calculatedColumnFormula>
    </tableColumn>
    <tableColumn id="90" name="Column90" headerRowDxfId="5" dataDxfId="4">
      <calculatedColumnFormula>GDP_deflator_in</calculatedColumnFormula>
    </tableColumn>
    <tableColumn id="91" name="Column91" headerRowDxfId="3" dataDxfId="2">
      <calculatedColumnFormula>GDP_deflator_in</calculatedColumnFormula>
    </tableColumn>
    <tableColumn id="92" name="Column92"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asm@df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62"/>
  <sheetViews>
    <sheetView topLeftCell="A10" zoomScaleNormal="100" workbookViewId="0">
      <selection activeCell="B42" sqref="B42"/>
    </sheetView>
  </sheetViews>
  <sheetFormatPr defaultColWidth="0" defaultRowHeight="12.75" zeroHeight="1" x14ac:dyDescent="0.2"/>
  <cols>
    <col min="1" max="1" width="3.28515625" style="189" customWidth="1"/>
    <col min="2" max="2" width="11.42578125" style="189" customWidth="1"/>
    <col min="3" max="17" width="9.140625" style="189" customWidth="1"/>
    <col min="18" max="256" width="9.140625" style="189" hidden="1"/>
    <col min="257" max="257" width="14.5703125" style="189" hidden="1"/>
    <col min="258" max="512" width="9.140625" style="189" hidden="1"/>
    <col min="513" max="513" width="14.5703125" style="189" hidden="1"/>
    <col min="514" max="768" width="9.140625" style="189" hidden="1"/>
    <col min="769" max="769" width="14.5703125" style="189" hidden="1"/>
    <col min="770" max="1024" width="9.140625" style="189" hidden="1"/>
    <col min="1025" max="1025" width="14.5703125" style="189" hidden="1"/>
    <col min="1026" max="1280" width="9.140625" style="189" hidden="1"/>
    <col min="1281" max="1281" width="14.5703125" style="189" hidden="1"/>
    <col min="1282" max="1536" width="9.140625" style="189" hidden="1"/>
    <col min="1537" max="1537" width="14.5703125" style="189" hidden="1"/>
    <col min="1538" max="1792" width="9.140625" style="189" hidden="1"/>
    <col min="1793" max="1793" width="14.5703125" style="189" hidden="1"/>
    <col min="1794" max="2048" width="9.140625" style="189" hidden="1"/>
    <col min="2049" max="2049" width="14.5703125" style="189" hidden="1"/>
    <col min="2050" max="2304" width="9.140625" style="189" hidden="1"/>
    <col min="2305" max="2305" width="14.5703125" style="189" hidden="1"/>
    <col min="2306" max="2560" width="9.140625" style="189" hidden="1"/>
    <col min="2561" max="2561" width="14.5703125" style="189" hidden="1"/>
    <col min="2562" max="2816" width="9.140625" style="189" hidden="1"/>
    <col min="2817" max="2817" width="14.5703125" style="189" hidden="1"/>
    <col min="2818" max="3072" width="9.140625" style="189" hidden="1"/>
    <col min="3073" max="3073" width="14.5703125" style="189" hidden="1"/>
    <col min="3074" max="3328" width="9.140625" style="189" hidden="1"/>
    <col min="3329" max="3329" width="14.5703125" style="189" hidden="1"/>
    <col min="3330" max="3584" width="9.140625" style="189" hidden="1"/>
    <col min="3585" max="3585" width="14.5703125" style="189" hidden="1"/>
    <col min="3586" max="3840" width="9.140625" style="189" hidden="1"/>
    <col min="3841" max="3841" width="14.5703125" style="189" hidden="1"/>
    <col min="3842" max="4096" width="9.140625" style="189" hidden="1"/>
    <col min="4097" max="4097" width="14.5703125" style="189" hidden="1"/>
    <col min="4098" max="4352" width="9.140625" style="189" hidden="1"/>
    <col min="4353" max="4353" width="14.5703125" style="189" hidden="1"/>
    <col min="4354" max="4608" width="9.140625" style="189" hidden="1"/>
    <col min="4609" max="4609" width="14.5703125" style="189" hidden="1"/>
    <col min="4610" max="4864" width="9.140625" style="189" hidden="1"/>
    <col min="4865" max="4865" width="14.5703125" style="189" hidden="1"/>
    <col min="4866" max="5120" width="9.140625" style="189" hidden="1"/>
    <col min="5121" max="5121" width="14.5703125" style="189" hidden="1"/>
    <col min="5122" max="5376" width="9.140625" style="189" hidden="1"/>
    <col min="5377" max="5377" width="14.5703125" style="189" hidden="1"/>
    <col min="5378" max="5632" width="9.140625" style="189" hidden="1"/>
    <col min="5633" max="5633" width="14.5703125" style="189" hidden="1"/>
    <col min="5634" max="5888" width="9.140625" style="189" hidden="1"/>
    <col min="5889" max="5889" width="14.5703125" style="189" hidden="1"/>
    <col min="5890" max="6144" width="9.140625" style="189" hidden="1"/>
    <col min="6145" max="6145" width="14.5703125" style="189" hidden="1"/>
    <col min="6146" max="6400" width="9.140625" style="189" hidden="1"/>
    <col min="6401" max="6401" width="14.5703125" style="189" hidden="1"/>
    <col min="6402" max="6656" width="9.140625" style="189" hidden="1"/>
    <col min="6657" max="6657" width="14.5703125" style="189" hidden="1"/>
    <col min="6658" max="6912" width="9.140625" style="189" hidden="1"/>
    <col min="6913" max="6913" width="14.5703125" style="189" hidden="1"/>
    <col min="6914" max="7168" width="9.140625" style="189" hidden="1"/>
    <col min="7169" max="7169" width="14.5703125" style="189" hidden="1"/>
    <col min="7170" max="7424" width="9.140625" style="189" hidden="1"/>
    <col min="7425" max="7425" width="14.5703125" style="189" hidden="1"/>
    <col min="7426" max="7680" width="9.140625" style="189" hidden="1"/>
    <col min="7681" max="7681" width="14.5703125" style="189" hidden="1"/>
    <col min="7682" max="7936" width="9.140625" style="189" hidden="1"/>
    <col min="7937" max="7937" width="14.5703125" style="189" hidden="1"/>
    <col min="7938" max="8192" width="9.140625" style="189" hidden="1"/>
    <col min="8193" max="8193" width="14.5703125" style="189" hidden="1"/>
    <col min="8194" max="8448" width="9.140625" style="189" hidden="1"/>
    <col min="8449" max="8449" width="14.5703125" style="189" hidden="1"/>
    <col min="8450" max="8704" width="9.140625" style="189" hidden="1"/>
    <col min="8705" max="8705" width="14.5703125" style="189" hidden="1"/>
    <col min="8706" max="8960" width="9.140625" style="189" hidden="1"/>
    <col min="8961" max="8961" width="14.5703125" style="189" hidden="1"/>
    <col min="8962" max="9216" width="9.140625" style="189" hidden="1"/>
    <col min="9217" max="9217" width="14.5703125" style="189" hidden="1"/>
    <col min="9218" max="9472" width="9.140625" style="189" hidden="1"/>
    <col min="9473" max="9473" width="14.5703125" style="189" hidden="1"/>
    <col min="9474" max="9728" width="9.140625" style="189" hidden="1"/>
    <col min="9729" max="9729" width="14.5703125" style="189" hidden="1"/>
    <col min="9730" max="9984" width="9.140625" style="189" hidden="1"/>
    <col min="9985" max="9985" width="14.5703125" style="189" hidden="1"/>
    <col min="9986" max="10240" width="9.140625" style="189" hidden="1"/>
    <col min="10241" max="10241" width="14.5703125" style="189" hidden="1"/>
    <col min="10242" max="10496" width="9.140625" style="189" hidden="1"/>
    <col min="10497" max="10497" width="14.5703125" style="189" hidden="1"/>
    <col min="10498" max="10752" width="9.140625" style="189" hidden="1"/>
    <col min="10753" max="10753" width="14.5703125" style="189" hidden="1"/>
    <col min="10754" max="11008" width="9.140625" style="189" hidden="1"/>
    <col min="11009" max="11009" width="14.5703125" style="189" hidden="1"/>
    <col min="11010" max="11264" width="9.140625" style="189" hidden="1"/>
    <col min="11265" max="11265" width="14.5703125" style="189" hidden="1"/>
    <col min="11266" max="11520" width="9.140625" style="189" hidden="1"/>
    <col min="11521" max="11521" width="14.5703125" style="189" hidden="1"/>
    <col min="11522" max="11776" width="9.140625" style="189" hidden="1"/>
    <col min="11777" max="11777" width="14.5703125" style="189" hidden="1"/>
    <col min="11778" max="12032" width="9.140625" style="189" hidden="1"/>
    <col min="12033" max="12033" width="14.5703125" style="189" hidden="1"/>
    <col min="12034" max="12288" width="9.140625" style="189" hidden="1"/>
    <col min="12289" max="12289" width="14.5703125" style="189" hidden="1"/>
    <col min="12290" max="12544" width="9.140625" style="189" hidden="1"/>
    <col min="12545" max="12545" width="14.5703125" style="189" hidden="1"/>
    <col min="12546" max="12800" width="9.140625" style="189" hidden="1"/>
    <col min="12801" max="12801" width="14.5703125" style="189" hidden="1"/>
    <col min="12802" max="13056" width="9.140625" style="189" hidden="1"/>
    <col min="13057" max="13057" width="14.5703125" style="189" hidden="1"/>
    <col min="13058" max="13312" width="9.140625" style="189" hidden="1"/>
    <col min="13313" max="13313" width="14.5703125" style="189" hidden="1"/>
    <col min="13314" max="13568" width="9.140625" style="189" hidden="1"/>
    <col min="13569" max="13569" width="14.5703125" style="189" hidden="1"/>
    <col min="13570" max="13824" width="9.140625" style="189" hidden="1"/>
    <col min="13825" max="13825" width="14.5703125" style="189" hidden="1"/>
    <col min="13826" max="14080" width="9.140625" style="189" hidden="1"/>
    <col min="14081" max="14081" width="14.5703125" style="189" hidden="1"/>
    <col min="14082" max="14336" width="9.140625" style="189" hidden="1"/>
    <col min="14337" max="14337" width="14.5703125" style="189" hidden="1"/>
    <col min="14338" max="14592" width="9.140625" style="189" hidden="1"/>
    <col min="14593" max="14593" width="14.5703125" style="189" hidden="1"/>
    <col min="14594" max="14848" width="9.140625" style="189" hidden="1"/>
    <col min="14849" max="14849" width="14.5703125" style="189" hidden="1"/>
    <col min="14850" max="15104" width="9.140625" style="189" hidden="1"/>
    <col min="15105" max="15105" width="14.5703125" style="189" hidden="1"/>
    <col min="15106" max="15360" width="9.140625" style="189" hidden="1"/>
    <col min="15361" max="15361" width="14.5703125" style="189" hidden="1"/>
    <col min="15362" max="15616" width="9.140625" style="189" hidden="1"/>
    <col min="15617" max="15617" width="14.5703125" style="189" hidden="1"/>
    <col min="15618" max="15872" width="9.140625" style="189" hidden="1"/>
    <col min="15873" max="15873" width="14.5703125" style="189" hidden="1"/>
    <col min="15874" max="16128" width="9.140625" style="189" hidden="1"/>
    <col min="16129" max="16129" width="14.5703125" style="189" hidden="1"/>
    <col min="16130" max="16384" width="9.140625" style="189" hidden="1"/>
  </cols>
  <sheetData>
    <row r="1" spans="1:3" x14ac:dyDescent="0.2"/>
    <row r="2" spans="1:3" x14ac:dyDescent="0.2"/>
    <row r="3" spans="1:3" x14ac:dyDescent="0.2"/>
    <row r="4" spans="1:3" x14ac:dyDescent="0.2"/>
    <row r="5" spans="1:3" x14ac:dyDescent="0.2">
      <c r="A5" s="188"/>
    </row>
    <row r="6" spans="1:3" s="55" customFormat="1" ht="18.75" x14ac:dyDescent="0.3">
      <c r="B6" s="55" t="s">
        <v>365</v>
      </c>
    </row>
    <row r="7" spans="1:3" x14ac:dyDescent="0.2"/>
    <row r="8" spans="1:3" s="56" customFormat="1" ht="15.75" x14ac:dyDescent="0.25">
      <c r="B8" s="56" t="s">
        <v>366</v>
      </c>
    </row>
    <row r="9" spans="1:3" x14ac:dyDescent="0.2">
      <c r="B9" s="189" t="s">
        <v>367</v>
      </c>
    </row>
    <row r="10" spans="1:3" x14ac:dyDescent="0.2"/>
    <row r="11" spans="1:3" s="56" customFormat="1" ht="15.75" x14ac:dyDescent="0.25">
      <c r="B11" s="56" t="s">
        <v>368</v>
      </c>
    </row>
    <row r="12" spans="1:3" x14ac:dyDescent="0.2">
      <c r="B12" s="189" t="s">
        <v>387</v>
      </c>
    </row>
    <row r="13" spans="1:3" x14ac:dyDescent="0.2"/>
    <row r="14" spans="1:3" x14ac:dyDescent="0.2">
      <c r="B14" s="189" t="s">
        <v>385</v>
      </c>
    </row>
    <row r="15" spans="1:3" x14ac:dyDescent="0.2"/>
    <row r="16" spans="1:3" x14ac:dyDescent="0.2">
      <c r="B16" s="189">
        <v>1</v>
      </c>
      <c r="C16" s="189" t="s">
        <v>386</v>
      </c>
    </row>
    <row r="17" spans="2:3" x14ac:dyDescent="0.2">
      <c r="B17" s="189">
        <v>2</v>
      </c>
      <c r="C17" s="189" t="s">
        <v>388</v>
      </c>
    </row>
    <row r="18" spans="2:3" x14ac:dyDescent="0.2">
      <c r="B18" s="189">
        <v>3</v>
      </c>
      <c r="C18" s="189" t="s">
        <v>389</v>
      </c>
    </row>
    <row r="19" spans="2:3" x14ac:dyDescent="0.2">
      <c r="B19" s="189">
        <v>4</v>
      </c>
      <c r="C19" s="189" t="s">
        <v>390</v>
      </c>
    </row>
    <row r="20" spans="2:3" x14ac:dyDescent="0.2"/>
    <row r="21" spans="2:3" x14ac:dyDescent="0.2">
      <c r="B21" s="189" t="s">
        <v>391</v>
      </c>
    </row>
    <row r="22" spans="2:3" x14ac:dyDescent="0.2"/>
    <row r="23" spans="2:3" x14ac:dyDescent="0.2">
      <c r="B23" s="189">
        <v>1</v>
      </c>
      <c r="C23" s="189" t="s">
        <v>31</v>
      </c>
    </row>
    <row r="24" spans="2:3" x14ac:dyDescent="0.2">
      <c r="B24" s="189">
        <v>2</v>
      </c>
      <c r="C24" s="189" t="s">
        <v>392</v>
      </c>
    </row>
    <row r="25" spans="2:3" x14ac:dyDescent="0.2">
      <c r="B25" s="189">
        <v>3</v>
      </c>
      <c r="C25" s="189" t="s">
        <v>395</v>
      </c>
    </row>
    <row r="26" spans="2:3" x14ac:dyDescent="0.2">
      <c r="B26" s="189">
        <v>4</v>
      </c>
      <c r="C26" s="189" t="s">
        <v>393</v>
      </c>
    </row>
    <row r="27" spans="2:3" x14ac:dyDescent="0.2">
      <c r="B27" s="189">
        <v>5</v>
      </c>
      <c r="C27" s="189" t="s">
        <v>394</v>
      </c>
    </row>
    <row r="28" spans="2:3" x14ac:dyDescent="0.2">
      <c r="B28" s="189">
        <v>6</v>
      </c>
      <c r="C28" s="189" t="s">
        <v>396</v>
      </c>
    </row>
    <row r="29" spans="2:3" x14ac:dyDescent="0.2">
      <c r="B29" s="189">
        <v>7</v>
      </c>
      <c r="C29" s="189" t="s">
        <v>398</v>
      </c>
    </row>
    <row r="30" spans="2:3" x14ac:dyDescent="0.2">
      <c r="B30" s="189">
        <v>8</v>
      </c>
      <c r="C30" s="189" t="s">
        <v>399</v>
      </c>
    </row>
    <row r="31" spans="2:3" x14ac:dyDescent="0.2">
      <c r="C31" s="189" t="s">
        <v>400</v>
      </c>
    </row>
    <row r="32" spans="2:3" x14ac:dyDescent="0.2"/>
    <row r="33" spans="2:3" x14ac:dyDescent="0.2">
      <c r="B33" s="189" t="s">
        <v>401</v>
      </c>
    </row>
    <row r="34" spans="2:3" x14ac:dyDescent="0.2"/>
    <row r="35" spans="2:3" x14ac:dyDescent="0.2">
      <c r="B35" s="189">
        <v>1</v>
      </c>
      <c r="C35" s="189" t="s">
        <v>406</v>
      </c>
    </row>
    <row r="36" spans="2:3" x14ac:dyDescent="0.2">
      <c r="B36" s="189">
        <v>2</v>
      </c>
      <c r="C36" s="189" t="s">
        <v>402</v>
      </c>
    </row>
    <row r="37" spans="2:3" x14ac:dyDescent="0.2">
      <c r="B37" s="189">
        <v>3</v>
      </c>
      <c r="C37" s="189" t="s">
        <v>403</v>
      </c>
    </row>
    <row r="38" spans="2:3" x14ac:dyDescent="0.2">
      <c r="B38" s="189">
        <v>4</v>
      </c>
      <c r="C38" s="189" t="s">
        <v>404</v>
      </c>
    </row>
    <row r="39" spans="2:3" x14ac:dyDescent="0.2">
      <c r="B39" s="189">
        <v>5</v>
      </c>
      <c r="C39" s="189" t="s">
        <v>405</v>
      </c>
    </row>
    <row r="40" spans="2:3" x14ac:dyDescent="0.2">
      <c r="B40" s="189">
        <v>6</v>
      </c>
      <c r="C40" s="189" t="s">
        <v>407</v>
      </c>
    </row>
    <row r="41" spans="2:3" x14ac:dyDescent="0.2"/>
    <row r="42" spans="2:3" x14ac:dyDescent="0.2">
      <c r="B42" s="189" t="s">
        <v>408</v>
      </c>
    </row>
    <row r="43" spans="2:3" x14ac:dyDescent="0.2"/>
    <row r="44" spans="2:3" s="56" customFormat="1" ht="15.75" x14ac:dyDescent="0.25">
      <c r="B44" s="56" t="s">
        <v>369</v>
      </c>
    </row>
    <row r="45" spans="2:3" x14ac:dyDescent="0.2">
      <c r="B45" s="190" t="s">
        <v>370</v>
      </c>
      <c r="C45" s="190" t="s">
        <v>371</v>
      </c>
    </row>
    <row r="46" spans="2:3" x14ac:dyDescent="0.2">
      <c r="B46" s="191">
        <v>42064</v>
      </c>
      <c r="C46" s="189" t="s">
        <v>409</v>
      </c>
    </row>
    <row r="47" spans="2:3" x14ac:dyDescent="0.2">
      <c r="B47" s="191">
        <v>41944</v>
      </c>
      <c r="C47" s="189" t="s">
        <v>372</v>
      </c>
    </row>
    <row r="48" spans="2:3" x14ac:dyDescent="0.2">
      <c r="B48" s="192" t="s">
        <v>373</v>
      </c>
      <c r="C48" s="189" t="s">
        <v>374</v>
      </c>
    </row>
    <row r="49" spans="2:3" x14ac:dyDescent="0.2">
      <c r="B49" s="191">
        <v>41640</v>
      </c>
      <c r="C49" s="189" t="s">
        <v>375</v>
      </c>
    </row>
    <row r="50" spans="2:3" x14ac:dyDescent="0.2">
      <c r="B50" s="193">
        <v>41564</v>
      </c>
      <c r="C50" s="189" t="s">
        <v>376</v>
      </c>
    </row>
    <row r="51" spans="2:3" x14ac:dyDescent="0.2"/>
    <row r="52" spans="2:3" s="56" customFormat="1" ht="15.75" x14ac:dyDescent="0.25">
      <c r="B52" s="56" t="s">
        <v>377</v>
      </c>
    </row>
    <row r="53" spans="2:3" x14ac:dyDescent="0.2">
      <c r="B53" s="189" t="s">
        <v>378</v>
      </c>
    </row>
    <row r="54" spans="2:3" x14ac:dyDescent="0.2">
      <c r="B54" s="189" t="s">
        <v>379</v>
      </c>
    </row>
    <row r="55" spans="2:3" x14ac:dyDescent="0.2">
      <c r="B55" s="189" t="s">
        <v>380</v>
      </c>
    </row>
    <row r="56" spans="2:3" x14ac:dyDescent="0.2">
      <c r="B56" s="189" t="s">
        <v>381</v>
      </c>
    </row>
    <row r="57" spans="2:3" x14ac:dyDescent="0.2">
      <c r="B57" s="189" t="s">
        <v>382</v>
      </c>
    </row>
    <row r="58" spans="2:3" x14ac:dyDescent="0.2">
      <c r="B58" s="189" t="s">
        <v>383</v>
      </c>
    </row>
    <row r="59" spans="2:3" ht="15" x14ac:dyDescent="0.25">
      <c r="B59" s="194" t="s">
        <v>384</v>
      </c>
    </row>
    <row r="60" spans="2:3" x14ac:dyDescent="0.2"/>
    <row r="61" spans="2:3" hidden="1" x14ac:dyDescent="0.2"/>
    <row r="62" spans="2:3" hidden="1" x14ac:dyDescent="0.2"/>
  </sheetData>
  <hyperlinks>
    <hyperlink ref="B5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2"/>
  <sheetViews>
    <sheetView showGridLines="0" zoomScaleNormal="100" workbookViewId="0">
      <selection activeCell="C22" sqref="C22"/>
    </sheetView>
  </sheetViews>
  <sheetFormatPr defaultColWidth="0" defaultRowHeight="15" zeroHeight="1" x14ac:dyDescent="0.25"/>
  <cols>
    <col min="1" max="1" width="9.140625" customWidth="1"/>
    <col min="2" max="2" width="22.42578125" customWidth="1"/>
    <col min="3" max="3" width="13.28515625" customWidth="1"/>
    <col min="4" max="4" width="15.7109375" customWidth="1"/>
    <col min="5" max="5" width="9.42578125" customWidth="1"/>
    <col min="6" max="6" width="9.5703125" customWidth="1"/>
    <col min="7" max="94" width="9.140625" customWidth="1"/>
    <col min="95" max="95" width="18" customWidth="1"/>
    <col min="96" max="96" width="45.85546875" hidden="1" customWidth="1"/>
    <col min="97" max="16384" width="9.140625" hidden="1"/>
  </cols>
  <sheetData>
    <row r="1" spans="2:96" x14ac:dyDescent="0.25"/>
    <row r="2" spans="2:96" s="59" customFormat="1" ht="26.25" x14ac:dyDescent="0.4">
      <c r="B2" s="59" t="s">
        <v>361</v>
      </c>
    </row>
    <row r="3" spans="2:96" x14ac:dyDescent="0.25"/>
    <row r="4" spans="2:96" s="55" customFormat="1" ht="18.75" x14ac:dyDescent="0.3">
      <c r="B4" s="55" t="s">
        <v>12</v>
      </c>
    </row>
    <row r="5" spans="2:96" ht="15" customHeight="1" x14ac:dyDescent="0.25"/>
    <row r="6" spans="2:96" ht="15" customHeight="1" x14ac:dyDescent="0.25">
      <c r="B6" t="s">
        <v>31</v>
      </c>
      <c r="D6" s="197" t="s">
        <v>427</v>
      </c>
      <c r="E6" s="198"/>
      <c r="F6" s="198"/>
      <c r="G6" s="198"/>
      <c r="H6" s="199"/>
      <c r="I6" s="52" t="s">
        <v>36</v>
      </c>
    </row>
    <row r="7" spans="2:96" ht="15" customHeight="1" x14ac:dyDescent="0.25">
      <c r="B7" t="s">
        <v>13</v>
      </c>
      <c r="D7" s="187">
        <v>2026</v>
      </c>
      <c r="E7" s="52" t="s">
        <v>33</v>
      </c>
      <c r="F7" s="52"/>
    </row>
    <row r="8" spans="2:96" ht="15" customHeight="1" x14ac:dyDescent="0.25">
      <c r="B8" t="s">
        <v>75</v>
      </c>
      <c r="D8" s="187">
        <v>2036</v>
      </c>
      <c r="E8" s="52" t="s">
        <v>76</v>
      </c>
      <c r="F8" s="52"/>
    </row>
    <row r="9" spans="2:96" ht="15" customHeight="1" x14ac:dyDescent="0.25">
      <c r="B9" t="s">
        <v>32</v>
      </c>
      <c r="D9" s="187" t="s">
        <v>271</v>
      </c>
      <c r="E9" s="52" t="s">
        <v>35</v>
      </c>
      <c r="F9" s="52"/>
    </row>
    <row r="10" spans="2:96" ht="15" customHeight="1" x14ac:dyDescent="0.25">
      <c r="B10" t="s">
        <v>14</v>
      </c>
      <c r="D10" s="187">
        <v>2017</v>
      </c>
      <c r="E10" s="52" t="s">
        <v>34</v>
      </c>
      <c r="F10" s="52"/>
    </row>
    <row r="11" spans="2:96" ht="15" customHeight="1" x14ac:dyDescent="0.25"/>
    <row r="12" spans="2:96" s="55" customFormat="1" ht="18.75" x14ac:dyDescent="0.3">
      <c r="B12" s="55" t="s">
        <v>412</v>
      </c>
    </row>
    <row r="13" spans="2:96" s="107" customFormat="1" ht="18.75" x14ac:dyDescent="0.3"/>
    <row r="14" spans="2:96" s="56" customFormat="1" ht="15.75" x14ac:dyDescent="0.25">
      <c r="B14" s="56" t="s">
        <v>321</v>
      </c>
    </row>
    <row r="15" spans="2:96" ht="15" customHeight="1" x14ac:dyDescent="0.25"/>
    <row r="16" spans="2:96" ht="15" customHeight="1" x14ac:dyDescent="0.25">
      <c r="C16" t="s">
        <v>13</v>
      </c>
      <c r="CR16" s="52"/>
    </row>
    <row r="17" spans="2:96" ht="15" customHeight="1" x14ac:dyDescent="0.25">
      <c r="B17" t="s">
        <v>77</v>
      </c>
      <c r="C17" s="196">
        <v>136.43438145432202</v>
      </c>
      <c r="D17" s="52"/>
      <c r="CQ17" s="52"/>
    </row>
    <row r="18" spans="2:96" ht="15" customHeight="1" x14ac:dyDescent="0.25">
      <c r="B18" t="s">
        <v>78</v>
      </c>
      <c r="C18" s="196">
        <v>136.97176844772562</v>
      </c>
      <c r="D18" s="52" t="s">
        <v>86</v>
      </c>
      <c r="J18">
        <f>Opening_year_with_scheme_NOx_emissions_in-Opening_year_without_scheme_NOx_emissions_in</f>
        <v>0.53738699340360085</v>
      </c>
      <c r="CQ18" s="52"/>
    </row>
    <row r="19" spans="2:96" ht="15" customHeight="1" x14ac:dyDescent="0.25">
      <c r="CR19" s="52"/>
    </row>
    <row r="20" spans="2:96" ht="15" customHeight="1" x14ac:dyDescent="0.25">
      <c r="C20" t="s">
        <v>75</v>
      </c>
      <c r="CR20" s="52"/>
    </row>
    <row r="21" spans="2:96" ht="15" customHeight="1" x14ac:dyDescent="0.25">
      <c r="B21" t="s">
        <v>77</v>
      </c>
      <c r="C21" s="196">
        <v>129.99034692001342</v>
      </c>
      <c r="D21" s="52"/>
      <c r="CQ21" s="52"/>
    </row>
    <row r="22" spans="2:96" ht="15" customHeight="1" x14ac:dyDescent="0.25">
      <c r="B22" t="s">
        <v>78</v>
      </c>
      <c r="C22" s="196">
        <v>131.55557736777939</v>
      </c>
      <c r="D22" s="52" t="s">
        <v>114</v>
      </c>
      <c r="J22">
        <f>Forecast_year_with_scheme_NOx_emissions_in-Forecast_year_without_scheme_NOx_emissions_in</f>
        <v>1.5652304477659698</v>
      </c>
      <c r="CQ22" s="52"/>
    </row>
    <row r="23" spans="2:96" ht="15" customHeight="1" x14ac:dyDescent="0.25">
      <c r="E23" s="52"/>
      <c r="CR23" s="52"/>
    </row>
    <row r="24" spans="2:96" s="56" customFormat="1" ht="15.75" x14ac:dyDescent="0.25">
      <c r="B24" s="56" t="s">
        <v>397</v>
      </c>
    </row>
    <row r="25" spans="2:96" x14ac:dyDescent="0.25">
      <c r="E25" s="52"/>
      <c r="CR25" s="52"/>
    </row>
    <row r="26" spans="2:96" x14ac:dyDescent="0.25">
      <c r="C26" t="s">
        <v>13</v>
      </c>
      <c r="E26" s="52"/>
      <c r="CR26" s="52"/>
    </row>
    <row r="27" spans="2:96" x14ac:dyDescent="0.25">
      <c r="B27" t="s">
        <v>77</v>
      </c>
      <c r="C27" s="186">
        <v>400879.9</v>
      </c>
      <c r="D27" s="52" t="s">
        <v>103</v>
      </c>
      <c r="E27" s="52"/>
      <c r="CR27" s="52"/>
    </row>
    <row r="28" spans="2:96" x14ac:dyDescent="0.25">
      <c r="B28" t="s">
        <v>78</v>
      </c>
      <c r="C28" s="186">
        <v>400952.29999999993</v>
      </c>
      <c r="D28" s="52" t="s">
        <v>104</v>
      </c>
      <c r="E28" s="52"/>
      <c r="J28">
        <f>Opening_year_with_scheme_PM10_concentrations_in-Opening_year_without_scheme_PM10_concentrations_in</f>
        <v>72.399999999906868</v>
      </c>
      <c r="CR28" s="52"/>
    </row>
    <row r="29" spans="2:96" x14ac:dyDescent="0.25">
      <c r="E29" s="52"/>
      <c r="CR29" s="52"/>
    </row>
    <row r="30" spans="2:96" x14ac:dyDescent="0.25">
      <c r="C30" t="s">
        <v>75</v>
      </c>
      <c r="E30" s="52"/>
      <c r="CR30" s="52"/>
    </row>
    <row r="31" spans="2:96" x14ac:dyDescent="0.25">
      <c r="B31" t="s">
        <v>77</v>
      </c>
      <c r="C31" s="186">
        <v>398872.5</v>
      </c>
      <c r="D31" s="52" t="s">
        <v>105</v>
      </c>
      <c r="E31" s="52"/>
      <c r="CR31" s="52"/>
    </row>
    <row r="32" spans="2:96" x14ac:dyDescent="0.25">
      <c r="B32" t="s">
        <v>78</v>
      </c>
      <c r="C32" s="186">
        <v>399013.99999999994</v>
      </c>
      <c r="D32" s="52" t="s">
        <v>106</v>
      </c>
      <c r="E32" s="52"/>
      <c r="J32">
        <f>Forecast_year_with_scheme_PM10_concentrations_in-Forecast_year_without_scheme_PM10_concentrations_in</f>
        <v>141.49999999994179</v>
      </c>
      <c r="CR32" s="52"/>
    </row>
    <row r="33" spans="1:96" x14ac:dyDescent="0.25">
      <c r="E33" s="52"/>
      <c r="CR33" s="52"/>
    </row>
    <row r="34" spans="1:96" s="55" customFormat="1" ht="18.75" x14ac:dyDescent="0.3">
      <c r="A34" s="68"/>
      <c r="B34" s="69" t="s">
        <v>289</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row>
    <row r="35" spans="1:96" s="107" customFormat="1" ht="15" customHeight="1" x14ac:dyDescent="0.3">
      <c r="A35" s="128"/>
      <c r="B35" s="133" t="s">
        <v>290</v>
      </c>
      <c r="C35" s="132"/>
      <c r="D35" s="132"/>
      <c r="E35" s="132"/>
      <c r="F35" s="132"/>
      <c r="G35" s="132"/>
      <c r="H35" s="132"/>
      <c r="I35" s="132"/>
      <c r="J35" s="132"/>
      <c r="K35" s="132"/>
      <c r="L35" s="132"/>
    </row>
    <row r="36" spans="1:96" s="107" customFormat="1" ht="15" customHeight="1" x14ac:dyDescent="0.3">
      <c r="A36" s="131"/>
      <c r="B36" s="133" t="s">
        <v>291</v>
      </c>
      <c r="C36" s="131"/>
      <c r="D36" s="131"/>
      <c r="E36" s="131"/>
      <c r="F36" s="131"/>
      <c r="G36" s="131"/>
      <c r="H36" s="131"/>
      <c r="I36" s="131"/>
      <c r="J36" s="131"/>
      <c r="K36" s="131"/>
      <c r="L36" s="131"/>
    </row>
    <row r="37" spans="1:96" s="78" customFormat="1" ht="15" customHeight="1" x14ac:dyDescent="0.25"/>
    <row r="38" spans="1:96" ht="15" customHeight="1" x14ac:dyDescent="0.25">
      <c r="B38" s="76" t="s">
        <v>99</v>
      </c>
      <c r="C38" s="185" t="s">
        <v>125</v>
      </c>
      <c r="D38" s="52" t="s">
        <v>219</v>
      </c>
    </row>
    <row r="39" spans="1:96" ht="15" customHeight="1" x14ac:dyDescent="0.25">
      <c r="B39" s="76"/>
      <c r="D39" s="52"/>
    </row>
    <row r="40" spans="1:96" ht="15" customHeight="1" x14ac:dyDescent="0.25">
      <c r="B40" s="76"/>
      <c r="D40" s="52"/>
    </row>
    <row r="41" spans="1:96" s="129" customFormat="1" ht="15.75" x14ac:dyDescent="0.25">
      <c r="B41" s="130" t="s">
        <v>218</v>
      </c>
    </row>
    <row r="42" spans="1:96" s="139" customFormat="1" ht="15" customHeight="1" x14ac:dyDescent="0.25">
      <c r="B42" s="140"/>
      <c r="D42" s="139">
        <v>2010</v>
      </c>
      <c r="E42" s="139">
        <v>2011</v>
      </c>
      <c r="F42" s="139">
        <v>2012</v>
      </c>
      <c r="G42" s="139">
        <v>2013</v>
      </c>
      <c r="H42" s="139">
        <v>2014</v>
      </c>
      <c r="I42" s="139">
        <v>2015</v>
      </c>
      <c r="J42" s="139">
        <v>2016</v>
      </c>
      <c r="K42" s="139">
        <v>2017</v>
      </c>
      <c r="L42" s="139">
        <v>2018</v>
      </c>
      <c r="M42" s="139">
        <v>2019</v>
      </c>
      <c r="N42" s="139">
        <v>2020</v>
      </c>
      <c r="O42" s="139">
        <v>2021</v>
      </c>
      <c r="P42" s="139">
        <v>2022</v>
      </c>
      <c r="Q42" s="139">
        <v>2023</v>
      </c>
      <c r="R42" s="139">
        <v>2024</v>
      </c>
      <c r="S42" s="139">
        <v>2025</v>
      </c>
      <c r="T42" s="139">
        <v>2026</v>
      </c>
      <c r="U42" s="139">
        <v>2027</v>
      </c>
      <c r="V42" s="139">
        <v>2028</v>
      </c>
      <c r="W42" s="139">
        <v>2029</v>
      </c>
      <c r="X42" s="139">
        <v>2030</v>
      </c>
    </row>
    <row r="43" spans="1:96" ht="15" customHeight="1" x14ac:dyDescent="0.25">
      <c r="B43" s="72" t="s">
        <v>107</v>
      </c>
      <c r="C43" s="72"/>
      <c r="D43" s="122">
        <v>0.59946026216033999</v>
      </c>
      <c r="E43" s="122">
        <v>0.55209375488263124</v>
      </c>
      <c r="F43" s="122">
        <v>0.50472724760492271</v>
      </c>
      <c r="G43" s="122">
        <v>0.45736074032721413</v>
      </c>
      <c r="H43" s="122">
        <v>0.40999423304950555</v>
      </c>
      <c r="I43" s="122">
        <v>0.36262772577179708</v>
      </c>
      <c r="J43" s="122">
        <v>0.30525388582690033</v>
      </c>
      <c r="K43" s="122">
        <v>0.24788004588200357</v>
      </c>
      <c r="L43" s="122">
        <v>0.19050620593710682</v>
      </c>
      <c r="M43" s="122">
        <v>0.13313236599221007</v>
      </c>
      <c r="N43" s="122">
        <v>7.5758526047313271E-2</v>
      </c>
      <c r="O43" s="122">
        <v>6.3634906956899384E-2</v>
      </c>
      <c r="P43" s="122">
        <v>5.151128786648549E-2</v>
      </c>
      <c r="Q43" s="122">
        <v>3.9387668776071597E-2</v>
      </c>
      <c r="R43" s="122">
        <v>2.7264049685657703E-2</v>
      </c>
      <c r="S43" s="122">
        <v>1.5140430595243821E-2</v>
      </c>
      <c r="T43" s="122">
        <v>1.2852380063607232E-2</v>
      </c>
      <c r="U43" s="122">
        <v>1.0564329531970642E-2</v>
      </c>
      <c r="V43" s="122">
        <v>8.2762790003340532E-3</v>
      </c>
      <c r="W43" s="122">
        <v>5.9882284686974653E-3</v>
      </c>
      <c r="X43" s="122">
        <v>3.7001779370608775E-3</v>
      </c>
      <c r="Y43" s="52" t="s">
        <v>126</v>
      </c>
    </row>
    <row r="44" spans="1:96" ht="15" customHeight="1" x14ac:dyDescent="0.25">
      <c r="B44" s="79" t="s">
        <v>108</v>
      </c>
      <c r="C44" s="71"/>
      <c r="D44" s="123">
        <v>0.17082474395269895</v>
      </c>
      <c r="E44" s="123">
        <v>0.1598966536161622</v>
      </c>
      <c r="F44" s="123">
        <v>0.14896856327962546</v>
      </c>
      <c r="G44" s="123">
        <v>0.13804047294308872</v>
      </c>
      <c r="H44" s="123">
        <v>0.12711238260655197</v>
      </c>
      <c r="I44" s="123">
        <v>0.11618429227001519</v>
      </c>
      <c r="J44" s="123">
        <v>9.7898830590805785E-2</v>
      </c>
      <c r="K44" s="123">
        <v>7.9613368911596372E-2</v>
      </c>
      <c r="L44" s="123">
        <v>6.1327907232386958E-2</v>
      </c>
      <c r="M44" s="123">
        <v>4.3042445553177544E-2</v>
      </c>
      <c r="N44" s="123">
        <v>2.4756983873968123E-2</v>
      </c>
      <c r="O44" s="123">
        <v>2.0754795508028723E-2</v>
      </c>
      <c r="P44" s="123">
        <v>1.6752607142089319E-2</v>
      </c>
      <c r="Q44" s="123">
        <v>1.2750418776149916E-2</v>
      </c>
      <c r="R44" s="123">
        <v>8.7482304102105141E-3</v>
      </c>
      <c r="S44" s="123">
        <v>4.7460420442711117E-3</v>
      </c>
      <c r="T44" s="123">
        <v>4.0194435836057437E-3</v>
      </c>
      <c r="U44" s="123">
        <v>3.2928451229403753E-3</v>
      </c>
      <c r="V44" s="123">
        <v>2.5662466622750073E-3</v>
      </c>
      <c r="W44" s="123">
        <v>1.8396482016096393E-3</v>
      </c>
      <c r="X44" s="123">
        <v>1.1130497409442722E-3</v>
      </c>
      <c r="Y44" s="52" t="s">
        <v>127</v>
      </c>
    </row>
    <row r="45" spans="1:96" ht="15" customHeight="1" x14ac:dyDescent="0.25">
      <c r="B45" s="70" t="s">
        <v>4</v>
      </c>
      <c r="C45" s="70"/>
      <c r="D45" s="123">
        <v>8.4000000000000005E-2</v>
      </c>
      <c r="E45" s="123">
        <v>7.7399999999999997E-2</v>
      </c>
      <c r="F45" s="123">
        <v>7.0800000000000002E-2</v>
      </c>
      <c r="G45" s="123">
        <v>6.4199999999999993E-2</v>
      </c>
      <c r="H45" s="123">
        <v>5.7599999999999998E-2</v>
      </c>
      <c r="I45" s="123">
        <v>5.0999999999999997E-2</v>
      </c>
      <c r="J45" s="123">
        <v>4.2800000000000005E-2</v>
      </c>
      <c r="K45" s="123">
        <v>3.4599999999999999E-2</v>
      </c>
      <c r="L45" s="123">
        <v>2.64E-2</v>
      </c>
      <c r="M45" s="123">
        <v>1.8200000000000001E-2</v>
      </c>
      <c r="N45" s="123">
        <v>0.01</v>
      </c>
      <c r="O45" s="123">
        <v>8.3999999999999995E-3</v>
      </c>
      <c r="P45" s="123">
        <v>6.8000000000000005E-3</v>
      </c>
      <c r="Q45" s="123">
        <v>5.1999999999999998E-3</v>
      </c>
      <c r="R45" s="123">
        <v>3.5999999999999999E-3</v>
      </c>
      <c r="S45" s="123">
        <v>2E-3</v>
      </c>
      <c r="T45" s="123">
        <v>1.6000000000000001E-3</v>
      </c>
      <c r="U45" s="123">
        <v>1.1999999999999999E-3</v>
      </c>
      <c r="V45" s="123">
        <v>8.0000000000000004E-4</v>
      </c>
      <c r="W45" s="123">
        <v>4.0000000000000002E-4</v>
      </c>
      <c r="X45" s="123">
        <v>0</v>
      </c>
      <c r="Y45" s="52" t="s">
        <v>128</v>
      </c>
    </row>
    <row r="46" spans="1:96" ht="15" customHeight="1" x14ac:dyDescent="0.25">
      <c r="B46" t="s">
        <v>125</v>
      </c>
      <c r="D46" s="195">
        <v>0</v>
      </c>
      <c r="E46" s="195">
        <v>0</v>
      </c>
      <c r="F46" s="195">
        <v>0</v>
      </c>
      <c r="G46" s="195">
        <v>0</v>
      </c>
      <c r="H46" s="195">
        <v>0</v>
      </c>
      <c r="I46" s="195">
        <v>0</v>
      </c>
      <c r="J46" s="195">
        <v>0</v>
      </c>
      <c r="K46" s="195">
        <v>0</v>
      </c>
      <c r="L46" s="195">
        <v>0</v>
      </c>
      <c r="M46" s="195">
        <v>0</v>
      </c>
      <c r="N46" s="195">
        <v>0</v>
      </c>
      <c r="O46" s="195">
        <v>0</v>
      </c>
      <c r="P46" s="195">
        <v>0</v>
      </c>
      <c r="Q46" s="195">
        <v>0</v>
      </c>
      <c r="R46" s="195">
        <v>0</v>
      </c>
      <c r="S46" s="195">
        <v>0</v>
      </c>
      <c r="T46" s="195">
        <v>0</v>
      </c>
      <c r="U46" s="195">
        <v>0</v>
      </c>
      <c r="V46" s="195">
        <v>0</v>
      </c>
      <c r="W46" s="195">
        <v>0</v>
      </c>
      <c r="X46" s="195">
        <v>0</v>
      </c>
      <c r="Y46" s="52" t="s">
        <v>129</v>
      </c>
    </row>
    <row r="47" spans="1:96" ht="15" customHeight="1" x14ac:dyDescent="0.25">
      <c r="D47" s="64"/>
      <c r="E47" s="64"/>
      <c r="F47" s="64"/>
      <c r="G47" s="64"/>
      <c r="H47" s="64"/>
      <c r="I47" s="64"/>
      <c r="J47" s="64"/>
      <c r="K47" s="64"/>
      <c r="L47" s="64"/>
      <c r="M47" s="64"/>
      <c r="N47" s="64"/>
      <c r="O47" s="64"/>
      <c r="P47" s="64"/>
      <c r="Q47" s="64"/>
      <c r="R47" s="64"/>
      <c r="S47" s="64"/>
      <c r="T47" s="64"/>
      <c r="U47" s="64"/>
      <c r="V47" s="64"/>
      <c r="W47" s="64"/>
      <c r="X47" s="64"/>
      <c r="Y47" s="52"/>
    </row>
    <row r="48" spans="1:96" ht="15" customHeight="1" x14ac:dyDescent="0.25">
      <c r="B48" t="s">
        <v>26</v>
      </c>
      <c r="D48" s="64" t="s">
        <v>288</v>
      </c>
      <c r="E48" s="64"/>
      <c r="F48" s="64"/>
      <c r="G48" s="64"/>
      <c r="H48" s="64"/>
      <c r="I48" s="64"/>
      <c r="J48" s="64"/>
      <c r="K48" s="64"/>
      <c r="L48" s="64"/>
      <c r="M48" s="64"/>
      <c r="N48" s="64"/>
      <c r="O48" s="64"/>
      <c r="P48" s="64"/>
      <c r="Q48" s="64"/>
      <c r="R48" s="64"/>
      <c r="S48" s="64"/>
      <c r="T48" s="64"/>
      <c r="U48" s="64"/>
      <c r="V48" s="64"/>
      <c r="W48" s="64"/>
      <c r="X48" s="64"/>
      <c r="Y48" s="52"/>
    </row>
    <row r="49" spans="1:96" ht="15" customHeight="1" x14ac:dyDescent="0.25"/>
    <row r="50" spans="1:96" s="55" customFormat="1" ht="18.75" x14ac:dyDescent="0.3">
      <c r="A50" s="68"/>
      <c r="B50" s="69" t="s">
        <v>111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row>
    <row r="51" spans="1:96" s="107" customFormat="1" ht="15" customHeight="1" x14ac:dyDescent="0.3">
      <c r="B51" s="108"/>
    </row>
    <row r="52" spans="1:96" ht="15" customHeight="1" x14ac:dyDescent="0.25">
      <c r="B52" s="109" t="s">
        <v>208</v>
      </c>
      <c r="C52" s="58">
        <v>2010</v>
      </c>
      <c r="D52" s="52" t="s">
        <v>203</v>
      </c>
      <c r="E52" s="52"/>
    </row>
    <row r="53" spans="1:96" ht="15" customHeight="1" x14ac:dyDescent="0.25">
      <c r="B53" s="109" t="s">
        <v>207</v>
      </c>
      <c r="C53" s="58">
        <v>2010</v>
      </c>
      <c r="D53" s="52" t="s">
        <v>204</v>
      </c>
      <c r="E53" s="52"/>
    </row>
    <row r="54" spans="1:96" ht="15" customHeight="1" x14ac:dyDescent="0.25">
      <c r="B54" s="109"/>
      <c r="C54" s="91"/>
      <c r="D54" s="52"/>
      <c r="E54" s="52"/>
    </row>
    <row r="55" spans="1:96" s="84" customFormat="1" ht="15.75" x14ac:dyDescent="0.25">
      <c r="B55" s="86" t="s">
        <v>322</v>
      </c>
      <c r="C55" s="153"/>
      <c r="D55" s="92"/>
      <c r="E55" s="92"/>
    </row>
    <row r="56" spans="1:96" ht="15" customHeight="1" x14ac:dyDescent="0.25">
      <c r="C56" s="91"/>
      <c r="D56" s="52"/>
      <c r="E56" s="52"/>
    </row>
    <row r="57" spans="1:96" ht="15" customHeight="1" x14ac:dyDescent="0.25">
      <c r="B57" s="74" t="s">
        <v>100</v>
      </c>
      <c r="C57" s="137">
        <v>955</v>
      </c>
      <c r="D57" s="95" t="s">
        <v>276</v>
      </c>
      <c r="E57" s="96"/>
      <c r="F57" s="96"/>
      <c r="G57" s="96"/>
    </row>
    <row r="58" spans="1:96" ht="15" customHeight="1" x14ac:dyDescent="0.25">
      <c r="B58" s="74" t="s">
        <v>101</v>
      </c>
      <c r="C58" s="137">
        <v>744</v>
      </c>
      <c r="D58" s="95" t="s">
        <v>277</v>
      </c>
      <c r="E58" s="94"/>
      <c r="F58" s="94"/>
      <c r="G58" s="94"/>
      <c r="I58" s="81"/>
    </row>
    <row r="59" spans="1:96" ht="15" customHeight="1" x14ac:dyDescent="0.25">
      <c r="B59" s="74" t="s">
        <v>102</v>
      </c>
      <c r="C59" s="137">
        <v>1085</v>
      </c>
      <c r="D59" s="95" t="s">
        <v>278</v>
      </c>
      <c r="E59" s="93"/>
      <c r="F59" s="93"/>
      <c r="G59" s="93"/>
    </row>
    <row r="60" spans="1:96" ht="15" customHeight="1" x14ac:dyDescent="0.25">
      <c r="B60" s="74"/>
      <c r="C60" s="151"/>
      <c r="D60" s="95"/>
      <c r="E60" s="93"/>
      <c r="F60" s="93"/>
      <c r="G60" s="93"/>
    </row>
    <row r="61" spans="1:96" s="84" customFormat="1" ht="15.75" x14ac:dyDescent="0.25">
      <c r="B61" s="86" t="s">
        <v>323</v>
      </c>
      <c r="C61" s="153"/>
      <c r="D61" s="92"/>
      <c r="E61" s="92"/>
    </row>
    <row r="62" spans="1:96" x14ac:dyDescent="0.25">
      <c r="B62" s="74"/>
      <c r="C62" s="93"/>
      <c r="D62" s="74"/>
      <c r="E62" s="93"/>
      <c r="F62" s="93"/>
      <c r="G62" s="93"/>
    </row>
    <row r="63" spans="1:96" x14ac:dyDescent="0.25">
      <c r="B63" s="74" t="s">
        <v>100</v>
      </c>
      <c r="C63" s="97">
        <v>29000</v>
      </c>
      <c r="D63" s="95" t="s">
        <v>279</v>
      </c>
      <c r="E63" s="96"/>
      <c r="F63" s="96"/>
    </row>
    <row r="64" spans="1:96" x14ac:dyDescent="0.25">
      <c r="B64" s="74" t="s">
        <v>101</v>
      </c>
      <c r="C64" s="97">
        <v>27000</v>
      </c>
      <c r="D64" s="95" t="s">
        <v>280</v>
      </c>
      <c r="E64" s="94"/>
      <c r="F64" s="94"/>
      <c r="H64" s="81"/>
    </row>
    <row r="65" spans="2:8" x14ac:dyDescent="0.25">
      <c r="B65" s="74" t="s">
        <v>102</v>
      </c>
      <c r="C65" s="97">
        <v>73000</v>
      </c>
      <c r="D65" s="95" t="s">
        <v>281</v>
      </c>
      <c r="E65" s="93"/>
      <c r="F65" s="93"/>
    </row>
    <row r="66" spans="2:8" x14ac:dyDescent="0.25">
      <c r="B66" s="74"/>
      <c r="C66" s="152"/>
      <c r="D66" s="95"/>
      <c r="E66" s="93"/>
      <c r="F66" s="93"/>
    </row>
    <row r="67" spans="2:8" s="84" customFormat="1" ht="15.75" customHeight="1" x14ac:dyDescent="0.25">
      <c r="B67" s="86" t="s">
        <v>324</v>
      </c>
      <c r="C67" s="153"/>
      <c r="D67" s="92"/>
      <c r="E67" s="92"/>
    </row>
    <row r="68" spans="2:8" ht="15" customHeight="1" x14ac:dyDescent="0.25">
      <c r="B68" s="74"/>
      <c r="C68" s="93"/>
      <c r="D68" s="95"/>
      <c r="E68" s="93"/>
      <c r="F68" s="93"/>
    </row>
    <row r="69" spans="2:8" ht="15" customHeight="1" x14ac:dyDescent="0.25">
      <c r="B69" s="74" t="s">
        <v>100</v>
      </c>
      <c r="C69" s="138">
        <v>92.72</v>
      </c>
      <c r="D69" s="95" t="s">
        <v>152</v>
      </c>
      <c r="E69" s="98"/>
      <c r="F69" s="96"/>
    </row>
    <row r="70" spans="2:8" ht="15" customHeight="1" x14ac:dyDescent="0.25">
      <c r="B70" s="74" t="s">
        <v>142</v>
      </c>
      <c r="C70" s="137">
        <v>48.59</v>
      </c>
      <c r="D70" s="95" t="s">
        <v>153</v>
      </c>
      <c r="E70" s="94"/>
      <c r="F70" s="94"/>
      <c r="H70" s="81"/>
    </row>
    <row r="71" spans="2:8" ht="15" customHeight="1" x14ac:dyDescent="0.25">
      <c r="B71" s="74" t="s">
        <v>102</v>
      </c>
      <c r="C71" s="117">
        <v>105.36</v>
      </c>
      <c r="D71" s="95" t="s">
        <v>154</v>
      </c>
      <c r="E71" s="93"/>
      <c r="F71" s="93"/>
    </row>
    <row r="72" spans="2:8" ht="15" customHeight="1" x14ac:dyDescent="0.25">
      <c r="B72" s="74"/>
      <c r="C72" s="93"/>
      <c r="D72" s="95"/>
      <c r="E72" s="93"/>
      <c r="F72" s="93"/>
    </row>
    <row r="73" spans="2:8" ht="15" customHeight="1" x14ac:dyDescent="0.25">
      <c r="B73" s="74" t="s">
        <v>26</v>
      </c>
      <c r="C73" s="74"/>
      <c r="D73" s="74" t="s">
        <v>89</v>
      </c>
      <c r="E73" s="74"/>
      <c r="F73" s="75"/>
      <c r="G73" s="73"/>
      <c r="H73" s="73"/>
    </row>
    <row r="74" spans="2:8" ht="15" customHeight="1" x14ac:dyDescent="0.25"/>
    <row r="75" spans="2:8" s="55" customFormat="1" ht="18.75" x14ac:dyDescent="0.3">
      <c r="B75" s="55" t="s">
        <v>15</v>
      </c>
    </row>
    <row r="76" spans="2:8" ht="15" customHeight="1" x14ac:dyDescent="0.25"/>
    <row r="77" spans="2:8" ht="15" customHeight="1" x14ac:dyDescent="0.25">
      <c r="B77" t="s">
        <v>27</v>
      </c>
      <c r="D77" s="57">
        <v>60</v>
      </c>
      <c r="E77" s="52" t="s">
        <v>30</v>
      </c>
      <c r="F77" s="52"/>
    </row>
    <row r="78" spans="2:8" ht="15" customHeight="1" x14ac:dyDescent="0.25">
      <c r="B78" t="s">
        <v>23</v>
      </c>
      <c r="D78" s="57">
        <v>2010</v>
      </c>
      <c r="E78" s="52" t="s">
        <v>28</v>
      </c>
      <c r="F78" s="52"/>
    </row>
    <row r="79" spans="2:8" ht="15" customHeight="1" x14ac:dyDescent="0.25">
      <c r="B79" t="s">
        <v>24</v>
      </c>
      <c r="D79" s="57">
        <v>2010</v>
      </c>
      <c r="E79" s="52" t="s">
        <v>29</v>
      </c>
      <c r="F79" s="52"/>
    </row>
    <row r="80" spans="2:8" ht="15" customHeight="1" x14ac:dyDescent="0.25"/>
    <row r="81" spans="2:101" ht="15" customHeight="1" x14ac:dyDescent="0.25">
      <c r="B81" t="s">
        <v>59</v>
      </c>
      <c r="D81" s="57">
        <v>30</v>
      </c>
      <c r="E81" s="62" t="s">
        <v>37</v>
      </c>
      <c r="F81" s="62"/>
    </row>
    <row r="82" spans="2:101" ht="15" customHeight="1" x14ac:dyDescent="0.25">
      <c r="B82" t="s">
        <v>60</v>
      </c>
      <c r="D82" s="57">
        <v>75</v>
      </c>
      <c r="E82" s="62" t="s">
        <v>38</v>
      </c>
      <c r="F82" s="62"/>
    </row>
    <row r="83" spans="2:101" ht="15" customHeight="1" x14ac:dyDescent="0.25">
      <c r="B83" t="s">
        <v>61</v>
      </c>
      <c r="D83" s="57">
        <v>125</v>
      </c>
      <c r="E83" s="62" t="s">
        <v>39</v>
      </c>
      <c r="F83" s="62"/>
    </row>
    <row r="84" spans="2:101" ht="15" customHeight="1" x14ac:dyDescent="0.25">
      <c r="B84" t="s">
        <v>413</v>
      </c>
      <c r="D84" s="60">
        <v>3.5000000000000003E-2</v>
      </c>
      <c r="E84" s="62" t="s">
        <v>40</v>
      </c>
      <c r="F84" s="62"/>
    </row>
    <row r="85" spans="2:101" ht="15" customHeight="1" x14ac:dyDescent="0.25">
      <c r="B85" t="s">
        <v>414</v>
      </c>
      <c r="D85" s="60">
        <v>0.03</v>
      </c>
      <c r="E85" s="62" t="s">
        <v>41</v>
      </c>
      <c r="F85" s="62"/>
    </row>
    <row r="86" spans="2:101" ht="15" customHeight="1" x14ac:dyDescent="0.25">
      <c r="B86" t="s">
        <v>415</v>
      </c>
      <c r="D86" s="60">
        <v>2.5000000000000001E-2</v>
      </c>
      <c r="E86" s="62" t="s">
        <v>42</v>
      </c>
      <c r="F86" s="62"/>
    </row>
    <row r="87" spans="2:101" ht="15" customHeight="1" x14ac:dyDescent="0.25">
      <c r="D87" s="61"/>
      <c r="E87" s="62"/>
      <c r="F87" s="62"/>
    </row>
    <row r="88" spans="2:101" ht="15" customHeight="1" x14ac:dyDescent="0.25">
      <c r="B88" s="74" t="s">
        <v>26</v>
      </c>
      <c r="C88" s="74"/>
      <c r="D88" s="74" t="s">
        <v>421</v>
      </c>
      <c r="E88" s="62"/>
      <c r="F88" s="62"/>
    </row>
    <row r="89" spans="2:101" ht="15" customHeight="1" x14ac:dyDescent="0.25">
      <c r="D89" s="61"/>
    </row>
    <row r="90" spans="2:101" ht="15" customHeight="1" x14ac:dyDescent="0.25">
      <c r="D90">
        <v>2010</v>
      </c>
      <c r="E90">
        <v>2011</v>
      </c>
      <c r="F90">
        <v>2012</v>
      </c>
      <c r="G90">
        <v>2013</v>
      </c>
      <c r="H90">
        <v>2014</v>
      </c>
      <c r="I90">
        <v>2015</v>
      </c>
      <c r="J90">
        <v>2016</v>
      </c>
      <c r="K90">
        <v>2017</v>
      </c>
      <c r="L90">
        <v>2018</v>
      </c>
      <c r="M90">
        <v>2019</v>
      </c>
      <c r="N90">
        <v>2020</v>
      </c>
      <c r="O90">
        <v>2021</v>
      </c>
      <c r="P90">
        <v>2022</v>
      </c>
      <c r="Q90">
        <v>2023</v>
      </c>
      <c r="R90">
        <v>2024</v>
      </c>
      <c r="S90">
        <v>2025</v>
      </c>
      <c r="T90">
        <v>2026</v>
      </c>
      <c r="U90">
        <v>2027</v>
      </c>
      <c r="V90">
        <v>2028</v>
      </c>
      <c r="W90">
        <v>2029</v>
      </c>
      <c r="X90">
        <v>2030</v>
      </c>
      <c r="Y90">
        <v>2031</v>
      </c>
      <c r="Z90">
        <v>2032</v>
      </c>
      <c r="AA90">
        <v>2033</v>
      </c>
      <c r="AB90">
        <v>2034</v>
      </c>
      <c r="AC90">
        <v>2035</v>
      </c>
      <c r="AD90">
        <v>2036</v>
      </c>
      <c r="AE90">
        <v>2037</v>
      </c>
      <c r="AF90">
        <v>2038</v>
      </c>
      <c r="AG90">
        <v>2039</v>
      </c>
      <c r="AH90">
        <v>2040</v>
      </c>
      <c r="AI90">
        <v>2041</v>
      </c>
      <c r="AJ90">
        <v>2042</v>
      </c>
      <c r="AK90">
        <v>2043</v>
      </c>
      <c r="AL90">
        <v>2044</v>
      </c>
      <c r="AM90">
        <v>2045</v>
      </c>
      <c r="AN90">
        <v>2046</v>
      </c>
      <c r="AO90">
        <v>2047</v>
      </c>
      <c r="AP90">
        <v>2048</v>
      </c>
      <c r="AQ90">
        <v>2049</v>
      </c>
      <c r="AR90">
        <v>2050</v>
      </c>
      <c r="AS90">
        <v>2051</v>
      </c>
      <c r="AT90">
        <v>2052</v>
      </c>
      <c r="AU90">
        <v>2053</v>
      </c>
      <c r="AV90">
        <v>2054</v>
      </c>
      <c r="AW90">
        <v>2055</v>
      </c>
      <c r="AX90">
        <v>2056</v>
      </c>
      <c r="AY90">
        <v>2057</v>
      </c>
      <c r="AZ90">
        <v>2058</v>
      </c>
      <c r="BA90">
        <v>2059</v>
      </c>
      <c r="BB90">
        <v>2060</v>
      </c>
      <c r="BC90">
        <v>2061</v>
      </c>
      <c r="BD90">
        <v>2062</v>
      </c>
      <c r="BE90">
        <v>2063</v>
      </c>
      <c r="BF90">
        <v>2064</v>
      </c>
      <c r="BG90">
        <v>2065</v>
      </c>
      <c r="BH90">
        <v>2066</v>
      </c>
      <c r="BI90">
        <v>2067</v>
      </c>
      <c r="BJ90">
        <v>2068</v>
      </c>
      <c r="BK90">
        <v>2069</v>
      </c>
      <c r="BL90">
        <v>2070</v>
      </c>
      <c r="BM90">
        <v>2071</v>
      </c>
      <c r="BN90">
        <v>2072</v>
      </c>
      <c r="BO90">
        <v>2073</v>
      </c>
      <c r="BP90">
        <v>2074</v>
      </c>
      <c r="BQ90">
        <v>2075</v>
      </c>
      <c r="BR90">
        <v>2076</v>
      </c>
      <c r="BS90">
        <v>2077</v>
      </c>
      <c r="BT90">
        <v>2078</v>
      </c>
      <c r="BU90">
        <v>2079</v>
      </c>
      <c r="BV90">
        <v>2080</v>
      </c>
      <c r="BW90">
        <v>2081</v>
      </c>
      <c r="BX90">
        <v>2082</v>
      </c>
      <c r="BY90">
        <v>2083</v>
      </c>
      <c r="BZ90">
        <v>2084</v>
      </c>
      <c r="CA90">
        <v>2085</v>
      </c>
      <c r="CB90">
        <v>2086</v>
      </c>
      <c r="CC90">
        <v>2087</v>
      </c>
      <c r="CD90">
        <v>2088</v>
      </c>
      <c r="CE90">
        <v>2089</v>
      </c>
      <c r="CF90">
        <v>2090</v>
      </c>
      <c r="CG90">
        <v>2091</v>
      </c>
      <c r="CH90">
        <v>2092</v>
      </c>
      <c r="CI90">
        <v>2093</v>
      </c>
      <c r="CJ90">
        <v>2094</v>
      </c>
      <c r="CK90">
        <v>2095</v>
      </c>
      <c r="CL90">
        <v>2096</v>
      </c>
      <c r="CM90">
        <v>2097</v>
      </c>
      <c r="CN90">
        <v>2098</v>
      </c>
      <c r="CO90">
        <v>2099</v>
      </c>
      <c r="CP90">
        <v>2100</v>
      </c>
    </row>
    <row r="91" spans="2:101" ht="15" customHeight="1" x14ac:dyDescent="0.25">
      <c r="B91" t="s">
        <v>48</v>
      </c>
      <c r="D91" s="135">
        <v>100</v>
      </c>
      <c r="E91" s="135">
        <v>102.01237956832982</v>
      </c>
      <c r="F91" s="135">
        <v>103.57877173152484</v>
      </c>
      <c r="G91" s="135">
        <v>105.55272081382208</v>
      </c>
      <c r="H91" s="135">
        <v>107.28962807470801</v>
      </c>
      <c r="I91" s="135">
        <v>107.64842025943268</v>
      </c>
      <c r="J91" s="135">
        <v>108.83255288228646</v>
      </c>
      <c r="K91" s="135">
        <v>110.90037138704989</v>
      </c>
      <c r="L91" s="135">
        <v>113.11837881479087</v>
      </c>
      <c r="M91" s="135">
        <v>115.2676280122719</v>
      </c>
      <c r="N91" s="135">
        <v>117.57298057251735</v>
      </c>
      <c r="O91" s="135">
        <v>120.0126199193971</v>
      </c>
      <c r="P91" s="135">
        <v>122.59289124766413</v>
      </c>
      <c r="Q91" s="135">
        <v>125.32058307792467</v>
      </c>
      <c r="R91" s="135">
        <v>128.20295648871692</v>
      </c>
      <c r="S91" s="135">
        <v>131.15162448795738</v>
      </c>
      <c r="T91" s="135">
        <v>134.16811185118041</v>
      </c>
      <c r="U91" s="135">
        <v>137.25397842375756</v>
      </c>
      <c r="V91" s="135">
        <v>140.41081992750398</v>
      </c>
      <c r="W91" s="135">
        <v>143.64026878583655</v>
      </c>
      <c r="X91" s="135">
        <v>146.94399496791078</v>
      </c>
      <c r="Y91" s="135">
        <v>150.32370685217273</v>
      </c>
      <c r="Z91" s="135">
        <v>153.78115210977271</v>
      </c>
      <c r="AA91" s="135">
        <v>157.31811860829745</v>
      </c>
      <c r="AB91" s="135">
        <v>160.9364353362883</v>
      </c>
      <c r="AC91" s="135">
        <v>164.63797334902293</v>
      </c>
      <c r="AD91" s="135">
        <v>168.42464673605045</v>
      </c>
      <c r="AE91" s="135">
        <v>172.29841361097957</v>
      </c>
      <c r="AF91" s="135">
        <v>176.26127712403209</v>
      </c>
      <c r="AG91" s="135">
        <v>180.31528649788478</v>
      </c>
      <c r="AH91" s="135">
        <v>184.46253808733613</v>
      </c>
      <c r="AI91" s="135">
        <v>188.70517646334483</v>
      </c>
      <c r="AJ91" s="135">
        <v>193.04539552200174</v>
      </c>
      <c r="AK91" s="135">
        <v>197.48543961900776</v>
      </c>
      <c r="AL91" s="135">
        <v>202.02760473024489</v>
      </c>
      <c r="AM91" s="135">
        <v>206.67423963904054</v>
      </c>
      <c r="AN91" s="135">
        <v>211.42774715073847</v>
      </c>
      <c r="AO91" s="135">
        <v>216.29058533520544</v>
      </c>
      <c r="AP91" s="135">
        <v>221.26526879791513</v>
      </c>
      <c r="AQ91" s="135">
        <v>226.35436998026717</v>
      </c>
      <c r="AR91" s="135">
        <v>231.56052048981329</v>
      </c>
      <c r="AS91" s="135">
        <v>236.88641246107895</v>
      </c>
      <c r="AT91" s="135">
        <v>242.33479994768373</v>
      </c>
      <c r="AU91" s="135">
        <v>247.90850034648045</v>
      </c>
      <c r="AV91" s="135">
        <v>253.61039585444948</v>
      </c>
      <c r="AW91" s="135">
        <v>259.44343495910181</v>
      </c>
      <c r="AX91" s="135">
        <v>265.4106339631611</v>
      </c>
      <c r="AY91" s="135">
        <v>271.51507854431378</v>
      </c>
      <c r="AZ91" s="135">
        <v>277.75992535083299</v>
      </c>
      <c r="BA91" s="135">
        <v>284.14840363390209</v>
      </c>
      <c r="BB91" s="135">
        <v>290.68381691748181</v>
      </c>
      <c r="BC91" s="135">
        <v>297.36954470658384</v>
      </c>
      <c r="BD91" s="135">
        <v>304.20904423483523</v>
      </c>
      <c r="BE91" s="135">
        <v>311.20585225223641</v>
      </c>
      <c r="BF91" s="135">
        <v>318.36358685403781</v>
      </c>
      <c r="BG91" s="135">
        <v>325.68594935168062</v>
      </c>
      <c r="BH91" s="135">
        <v>333.17672618676926</v>
      </c>
      <c r="BI91" s="135">
        <v>340.83979088906494</v>
      </c>
      <c r="BJ91" s="135">
        <v>348.67910607951342</v>
      </c>
      <c r="BK91" s="135">
        <v>356.69872551934219</v>
      </c>
      <c r="BL91" s="135">
        <v>364.90279620628706</v>
      </c>
      <c r="BM91" s="135">
        <v>373.29556051903154</v>
      </c>
      <c r="BN91" s="135">
        <v>381.88135841096931</v>
      </c>
      <c r="BO91" s="135">
        <v>390.6646296544215</v>
      </c>
      <c r="BP91" s="135">
        <v>399.64991613647322</v>
      </c>
      <c r="BQ91" s="135">
        <v>408.84186420761199</v>
      </c>
      <c r="BR91" s="135">
        <v>418.24522708438712</v>
      </c>
      <c r="BS91" s="135">
        <v>427.86486730732793</v>
      </c>
      <c r="BT91" s="135">
        <v>437.70575925539646</v>
      </c>
      <c r="BU91" s="135">
        <v>447.77299171827048</v>
      </c>
      <c r="BV91" s="135">
        <v>458.0717705277907</v>
      </c>
      <c r="BW91" s="135">
        <v>468.60742124992987</v>
      </c>
      <c r="BX91" s="135">
        <v>479.3853919386782</v>
      </c>
      <c r="BY91" s="135">
        <v>490.41125595326776</v>
      </c>
      <c r="BZ91" s="135">
        <v>501.69071484019287</v>
      </c>
      <c r="CA91" s="135">
        <v>513.22960128151726</v>
      </c>
      <c r="CB91" s="135">
        <v>525.03388211099218</v>
      </c>
      <c r="CC91" s="135">
        <v>537.10966139954496</v>
      </c>
      <c r="CD91" s="135">
        <v>549.46318361173439</v>
      </c>
      <c r="CE91" s="135">
        <v>562.10083683480423</v>
      </c>
      <c r="CF91" s="135">
        <v>575.02915608200476</v>
      </c>
      <c r="CG91" s="135">
        <v>588.25482667189078</v>
      </c>
      <c r="CH91" s="135">
        <v>601.78468768534424</v>
      </c>
      <c r="CI91" s="135">
        <v>615.6257355021072</v>
      </c>
      <c r="CJ91" s="135">
        <v>629.78512741865552</v>
      </c>
      <c r="CK91" s="135">
        <v>644.27018534928459</v>
      </c>
      <c r="CL91" s="135">
        <v>659.08839961231809</v>
      </c>
      <c r="CM91" s="135">
        <v>674.24743280340135</v>
      </c>
      <c r="CN91" s="135">
        <v>689.75512375787946</v>
      </c>
      <c r="CO91" s="135">
        <v>705.61949160431061</v>
      </c>
      <c r="CP91" s="135">
        <v>721.84873991120969</v>
      </c>
      <c r="CQ91" s="134" t="s">
        <v>49</v>
      </c>
      <c r="CR91" s="52"/>
    </row>
    <row r="92" spans="2:101" ht="15" customHeight="1" x14ac:dyDescent="0.25">
      <c r="B92" t="s">
        <v>97</v>
      </c>
      <c r="D92" s="136">
        <v>120.72854081974981</v>
      </c>
      <c r="E92" s="136">
        <v>121.76624150588371</v>
      </c>
      <c r="F92" s="136">
        <v>122.4148093124263</v>
      </c>
      <c r="G92" s="136">
        <v>124.56703199335765</v>
      </c>
      <c r="H92" s="136">
        <v>128.15624351628929</v>
      </c>
      <c r="I92" s="136">
        <v>129.62112046767322</v>
      </c>
      <c r="J92" s="136">
        <v>130.93888806586813</v>
      </c>
      <c r="K92" s="136">
        <v>132.57094947174735</v>
      </c>
      <c r="L92" s="136">
        <v>134.11183354105594</v>
      </c>
      <c r="M92" s="136">
        <v>135.68252856898073</v>
      </c>
      <c r="N92" s="136">
        <v>137.30155650489715</v>
      </c>
      <c r="O92" s="136">
        <v>139.35807095256814</v>
      </c>
      <c r="P92" s="136">
        <v>141.48634034956527</v>
      </c>
      <c r="Q92" s="136">
        <v>143.67041005985089</v>
      </c>
      <c r="R92" s="136">
        <v>146.03482327211054</v>
      </c>
      <c r="S92" s="136">
        <v>148.4679214351049</v>
      </c>
      <c r="T92" s="136">
        <v>150.93522274168933</v>
      </c>
      <c r="U92" s="136">
        <v>153.47226853333811</v>
      </c>
      <c r="V92" s="136">
        <v>156.08454881308842</v>
      </c>
      <c r="W92" s="136">
        <v>158.76885183156472</v>
      </c>
      <c r="X92" s="136">
        <v>161.5306939323479</v>
      </c>
      <c r="Y92" s="136">
        <v>164.35010657602442</v>
      </c>
      <c r="Z92" s="136">
        <v>167.26633540662601</v>
      </c>
      <c r="AA92" s="136">
        <v>170.27390826943093</v>
      </c>
      <c r="AB92" s="136">
        <v>173.93478606129381</v>
      </c>
      <c r="AC92" s="136">
        <v>177.52033443059497</v>
      </c>
      <c r="AD92" s="136">
        <v>181.19656353637319</v>
      </c>
      <c r="AE92" s="136">
        <v>184.96316996756352</v>
      </c>
      <c r="AF92" s="136">
        <v>188.83329024257074</v>
      </c>
      <c r="AG92" s="136">
        <v>192.78438788699503</v>
      </c>
      <c r="AH92" s="136">
        <v>196.8181572498209</v>
      </c>
      <c r="AI92" s="136">
        <v>200.93632813214126</v>
      </c>
      <c r="AJ92" s="136">
        <v>205.1777059126633</v>
      </c>
      <c r="AK92" s="136">
        <v>209.50861098595681</v>
      </c>
      <c r="AL92" s="136">
        <v>213.93093310025117</v>
      </c>
      <c r="AM92" s="136">
        <v>218.4466018927109</v>
      </c>
      <c r="AN92" s="136">
        <v>223.27520489017627</v>
      </c>
      <c r="AO92" s="136">
        <v>228.04822714879759</v>
      </c>
      <c r="AP92" s="136">
        <v>232.92328376225248</v>
      </c>
      <c r="AQ92" s="136">
        <v>237.90255595011251</v>
      </c>
      <c r="AR92" s="136">
        <v>242.98827156054639</v>
      </c>
      <c r="AS92" s="136">
        <v>247.94057659777991</v>
      </c>
      <c r="AT92" s="136">
        <v>253.07416559518032</v>
      </c>
      <c r="AU92" s="136">
        <v>258.31404512540053</v>
      </c>
      <c r="AV92" s="136">
        <v>263.6624159250739</v>
      </c>
      <c r="AW92" s="136">
        <v>269.12152429690258</v>
      </c>
      <c r="AX92" s="136">
        <v>274.6936630530991</v>
      </c>
      <c r="AY92" s="136">
        <v>280.44704380019499</v>
      </c>
      <c r="AZ92" s="136">
        <v>286.60053775355095</v>
      </c>
      <c r="BA92" s="136">
        <v>292.88905002380869</v>
      </c>
      <c r="BB92" s="136">
        <v>299.60755831077597</v>
      </c>
      <c r="BC92" s="136">
        <v>306.48018077032282</v>
      </c>
      <c r="BD92" s="136">
        <v>313.52868877105044</v>
      </c>
      <c r="BE92" s="136">
        <v>320.73095328164914</v>
      </c>
      <c r="BF92" s="136">
        <v>327.77888126134968</v>
      </c>
      <c r="BG92" s="136">
        <v>334.98168449801807</v>
      </c>
      <c r="BH92" s="136">
        <v>342.34276631037295</v>
      </c>
      <c r="BI92" s="136">
        <v>349.81890571873168</v>
      </c>
      <c r="BJ92" s="136">
        <v>357.45831032780029</v>
      </c>
      <c r="BK92" s="136">
        <v>365.26454555072939</v>
      </c>
      <c r="BL92" s="136">
        <v>373.24125466276689</v>
      </c>
      <c r="BM92" s="136">
        <v>381.39216050162366</v>
      </c>
      <c r="BN92" s="136">
        <v>389.66173081055445</v>
      </c>
      <c r="BO92" s="136">
        <v>398.11060683202118</v>
      </c>
      <c r="BP92" s="136">
        <v>406.74267637849124</v>
      </c>
      <c r="BQ92" s="136">
        <v>415.56191156028069</v>
      </c>
      <c r="BR92" s="136">
        <v>424.57237061334968</v>
      </c>
      <c r="BS92" s="136">
        <v>433.7658083032353</v>
      </c>
      <c r="BT92" s="136">
        <v>443.15831522703206</v>
      </c>
      <c r="BU92" s="136">
        <v>452.75420191157724</v>
      </c>
      <c r="BV92" s="136">
        <v>462.55787222129368</v>
      </c>
      <c r="BW92" s="136">
        <v>472.573825379266</v>
      </c>
      <c r="BX92" s="136">
        <v>482.84743648087533</v>
      </c>
      <c r="BY92" s="136">
        <v>493.34439276031458</v>
      </c>
      <c r="BZ92" s="136">
        <v>504.0695496737585</v>
      </c>
      <c r="CA92" s="136">
        <v>515.02786823352096</v>
      </c>
      <c r="CB92" s="136">
        <v>526.22441730281321</v>
      </c>
      <c r="CC92" s="136">
        <v>537.69770176158909</v>
      </c>
      <c r="CD92" s="136">
        <v>549.44124764592959</v>
      </c>
      <c r="CE92" s="136">
        <v>561.44127755370152</v>
      </c>
      <c r="CF92" s="136">
        <v>573.70339320477058</v>
      </c>
      <c r="CG92" s="136">
        <v>586.23331866294063</v>
      </c>
      <c r="CH92" s="136">
        <v>599.03690300799701</v>
      </c>
      <c r="CI92" s="136">
        <v>612.12494379692089</v>
      </c>
      <c r="CJ92" s="136">
        <v>625.49893827389371</v>
      </c>
      <c r="CK92" s="136">
        <v>639.16513408996025</v>
      </c>
      <c r="CL92" s="136">
        <v>653.12991539779182</v>
      </c>
      <c r="CM92" s="136">
        <v>667.3998058340386</v>
      </c>
      <c r="CN92" s="136">
        <v>681.98147156684104</v>
      </c>
      <c r="CO92" s="136">
        <v>696.88172440992503</v>
      </c>
      <c r="CP92" s="136">
        <v>712.10752500473575</v>
      </c>
      <c r="CQ92" s="134" t="s">
        <v>109</v>
      </c>
      <c r="CS92">
        <v>5.7431109127984987</v>
      </c>
      <c r="CT92">
        <v>5.8677770676629759</v>
      </c>
      <c r="CU92">
        <v>5.9951493604385391</v>
      </c>
      <c r="CV92">
        <v>6.12528653347111</v>
      </c>
      <c r="CW92">
        <v>6.2582486042312775</v>
      </c>
    </row>
    <row r="93" spans="2:101" ht="15" customHeight="1" x14ac:dyDescent="0.25">
      <c r="B93" t="s">
        <v>98</v>
      </c>
      <c r="D93" s="136">
        <v>135.2046936336709</v>
      </c>
      <c r="E93" s="136">
        <v>136.10524073861333</v>
      </c>
      <c r="F93" s="136">
        <v>136.9834354963472</v>
      </c>
      <c r="G93" s="136">
        <v>138.72870250660944</v>
      </c>
      <c r="H93" s="136">
        <v>141.90126968305941</v>
      </c>
      <c r="I93" s="136">
        <v>143.94373934216705</v>
      </c>
      <c r="J93" s="136">
        <v>145.75834713876552</v>
      </c>
      <c r="K93" s="136">
        <v>147.93285742951994</v>
      </c>
      <c r="L93" s="136">
        <v>150.00150313947708</v>
      </c>
      <c r="M93" s="136">
        <v>152.1425291793804</v>
      </c>
      <c r="N93" s="136">
        <v>154.34157883388107</v>
      </c>
      <c r="O93" s="136">
        <v>157.05336115630223</v>
      </c>
      <c r="P93" s="136">
        <v>159.83124524328503</v>
      </c>
      <c r="Q93" s="136">
        <v>162.6789956065179</v>
      </c>
      <c r="R93" s="136">
        <v>165.76232449528331</v>
      </c>
      <c r="S93" s="136">
        <v>168.92927277942547</v>
      </c>
      <c r="T93" s="136">
        <v>172.1839660412812</v>
      </c>
      <c r="U93" s="136">
        <v>175.52997914211562</v>
      </c>
      <c r="V93" s="136">
        <v>178.97028365221192</v>
      </c>
      <c r="W93" s="136">
        <v>182.50790168272997</v>
      </c>
      <c r="X93" s="136">
        <v>186.14525133482013</v>
      </c>
      <c r="Y93" s="136">
        <v>189.88457068793653</v>
      </c>
      <c r="Z93" s="136">
        <v>193.72761566322478</v>
      </c>
      <c r="AA93" s="136">
        <v>197.67557870720654</v>
      </c>
      <c r="AB93" s="136">
        <v>201.92559060531701</v>
      </c>
      <c r="AC93" s="136">
        <v>206.08815054234958</v>
      </c>
      <c r="AD93" s="136">
        <v>210.3559841953782</v>
      </c>
      <c r="AE93" s="136">
        <v>214.72873932630336</v>
      </c>
      <c r="AF93" s="136">
        <v>219.22166647411984</v>
      </c>
      <c r="AG93" s="136">
        <v>223.80860243705311</v>
      </c>
      <c r="AH93" s="136">
        <v>228.49151423059863</v>
      </c>
      <c r="AI93" s="136">
        <v>233.27241002756193</v>
      </c>
      <c r="AJ93" s="136">
        <v>238.19634004010339</v>
      </c>
      <c r="AK93" s="136">
        <v>243.22420470469197</v>
      </c>
      <c r="AL93" s="136">
        <v>248.35819788108373</v>
      </c>
      <c r="AM93" s="136">
        <v>253.60055973717672</v>
      </c>
      <c r="AN93" s="136">
        <v>259.20621536329293</v>
      </c>
      <c r="AO93" s="136">
        <v>264.74734580861281</v>
      </c>
      <c r="AP93" s="136">
        <v>270.40693069210664</v>
      </c>
      <c r="AQ93" s="136">
        <v>276.18750225048342</v>
      </c>
      <c r="AR93" s="136">
        <v>282.09164685284981</v>
      </c>
      <c r="AS93" s="136">
        <v>287.84091151776084</v>
      </c>
      <c r="AT93" s="136">
        <v>293.80063362797597</v>
      </c>
      <c r="AU93" s="136">
        <v>299.88375128833616</v>
      </c>
      <c r="AV93" s="136">
        <v>306.09281939343447</v>
      </c>
      <c r="AW93" s="136">
        <v>312.43044573674382</v>
      </c>
      <c r="AX93" s="136">
        <v>318.89929210588389</v>
      </c>
      <c r="AY93" s="136">
        <v>325.57854719707188</v>
      </c>
      <c r="AZ93" s="136">
        <v>332.72230451528753</v>
      </c>
      <c r="BA93" s="136">
        <v>340.02280824404193</v>
      </c>
      <c r="BB93" s="136">
        <v>347.82250596152153</v>
      </c>
      <c r="BC93" s="136">
        <v>355.80111898411917</v>
      </c>
      <c r="BD93" s="136">
        <v>363.98392228162442</v>
      </c>
      <c r="BE93" s="136">
        <v>372.34522566394998</v>
      </c>
      <c r="BF93" s="136">
        <v>380.52735559938014</v>
      </c>
      <c r="BG93" s="136">
        <v>388.88928440334928</v>
      </c>
      <c r="BH93" s="136">
        <v>397.4349630804715</v>
      </c>
      <c r="BI93" s="136">
        <v>406.11421522816175</v>
      </c>
      <c r="BJ93" s="136">
        <v>414.98300635666868</v>
      </c>
      <c r="BK93" s="136">
        <v>424.04547565041025</v>
      </c>
      <c r="BL93" s="136">
        <v>433.30585268601584</v>
      </c>
      <c r="BM93" s="136">
        <v>442.76845940632694</v>
      </c>
      <c r="BN93" s="136">
        <v>452.36882691472516</v>
      </c>
      <c r="BO93" s="136">
        <v>462.17735526732599</v>
      </c>
      <c r="BP93" s="136">
        <v>472.19855793062129</v>
      </c>
      <c r="BQ93" s="136">
        <v>482.4370462347519</v>
      </c>
      <c r="BR93" s="136">
        <v>492.89753149544509</v>
      </c>
      <c r="BS93" s="136">
        <v>503.57044159733329</v>
      </c>
      <c r="BT93" s="136">
        <v>514.47445654914304</v>
      </c>
      <c r="BU93" s="136">
        <v>525.61458055789456</v>
      </c>
      <c r="BV93" s="136">
        <v>536.99592618873169</v>
      </c>
      <c r="BW93" s="136">
        <v>548.62371671124413</v>
      </c>
      <c r="BX93" s="136">
        <v>560.55062929910764</v>
      </c>
      <c r="BY93" s="136">
        <v>572.73682933581006</v>
      </c>
      <c r="BZ93" s="136">
        <v>585.18795365155609</v>
      </c>
      <c r="CA93" s="136">
        <v>597.90976161952324</v>
      </c>
      <c r="CB93" s="136">
        <v>610.90813781990857</v>
      </c>
      <c r="CC93" s="136">
        <v>624.22778360775408</v>
      </c>
      <c r="CD93" s="136">
        <v>637.8611831835035</v>
      </c>
      <c r="CE93" s="136">
        <v>651.79234198893312</v>
      </c>
      <c r="CF93" s="136">
        <v>666.02776321192107</v>
      </c>
      <c r="CG93" s="136">
        <v>680.57409207272747</v>
      </c>
      <c r="CH93" s="136">
        <v>695.43811892604151</v>
      </c>
      <c r="CI93" s="136">
        <v>710.6323789473729</v>
      </c>
      <c r="CJ93" s="136">
        <v>726.15861032792793</v>
      </c>
      <c r="CK93" s="136">
        <v>742.02406613453513</v>
      </c>
      <c r="CL93" s="136">
        <v>758.23615790244799</v>
      </c>
      <c r="CM93" s="136">
        <v>774.80245909763778</v>
      </c>
      <c r="CN93" s="136">
        <v>791.73070865473233</v>
      </c>
      <c r="CO93" s="136">
        <v>809.02881459225318</v>
      </c>
      <c r="CP93" s="136">
        <v>826.70485770684036</v>
      </c>
      <c r="CQ93" s="134" t="s">
        <v>110</v>
      </c>
      <c r="CS93">
        <v>6.1588384151959756</v>
      </c>
      <c r="CT93">
        <v>6.2925287992599639</v>
      </c>
      <c r="CU93">
        <v>6.4291212108795177</v>
      </c>
      <c r="CV93">
        <v>6.5686786445922944</v>
      </c>
      <c r="CW93">
        <v>6.7112654623632748</v>
      </c>
    </row>
    <row r="94" spans="2:101" ht="15" customHeight="1" x14ac:dyDescent="0.25"/>
    <row r="95" spans="2:101" ht="15" customHeight="1" x14ac:dyDescent="0.25">
      <c r="B95" t="s">
        <v>26</v>
      </c>
      <c r="D95" s="74" t="s">
        <v>422</v>
      </c>
    </row>
    <row r="96" spans="2:101" ht="15"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sheetData>
  <mergeCells count="1">
    <mergeCell ref="D6:H6"/>
  </mergeCells>
  <dataValidations count="2">
    <dataValidation type="list" allowBlank="1" showInputMessage="1" showErrorMessage="1" sqref="D9">
      <formula1>"road,rail,road/rail"</formula1>
    </dataValidation>
    <dataValidation type="list" allowBlank="1" showInputMessage="1" showErrorMessage="1" sqref="C38:C40">
      <formula1>"Urban, National, Rail, Custom"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10"/>
  <sheetViews>
    <sheetView zoomScaleNormal="100" workbookViewId="0">
      <pane xSplit="3" ySplit="4" topLeftCell="D5" activePane="bottomRight" state="frozen"/>
      <selection pane="topRight" activeCell="D1" sqref="D1"/>
      <selection pane="bottomLeft" activeCell="A5" sqref="A5"/>
      <selection pane="bottomRight" activeCell="I4" sqref="I4"/>
    </sheetView>
  </sheetViews>
  <sheetFormatPr defaultColWidth="0" defaultRowHeight="15" zeroHeight="1" outlineLevelRow="1" x14ac:dyDescent="0.25"/>
  <cols>
    <col min="1" max="1" width="9.140625" customWidth="1"/>
    <col min="2" max="2" width="33" customWidth="1"/>
    <col min="3" max="94" width="9.140625" customWidth="1"/>
    <col min="95" max="95" width="56.5703125" bestFit="1" customWidth="1"/>
    <col min="96" max="16384" width="9.140625" hidden="1"/>
  </cols>
  <sheetData>
    <row r="1" spans="1:95" x14ac:dyDescent="0.25">
      <c r="CB1">
        <v>2</v>
      </c>
    </row>
    <row r="2" spans="1:95" ht="26.25" x14ac:dyDescent="0.4">
      <c r="A2" s="59"/>
      <c r="B2" s="59" t="s">
        <v>362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row>
    <row r="3" spans="1:95" x14ac:dyDescent="0.25"/>
    <row r="4" spans="1:95" x14ac:dyDescent="0.25">
      <c r="D4" s="76">
        <v>2010</v>
      </c>
      <c r="E4" s="76">
        <v>2011</v>
      </c>
      <c r="F4" s="76">
        <v>2012</v>
      </c>
      <c r="G4" s="76">
        <v>2013</v>
      </c>
      <c r="H4" s="76">
        <v>2014</v>
      </c>
      <c r="I4" s="76">
        <v>2015</v>
      </c>
      <c r="J4" s="76">
        <v>2016</v>
      </c>
      <c r="K4" s="76">
        <v>2017</v>
      </c>
      <c r="L4" s="76">
        <v>2018</v>
      </c>
      <c r="M4" s="76">
        <v>2019</v>
      </c>
      <c r="N4" s="76">
        <v>2020</v>
      </c>
      <c r="O4" s="76">
        <v>2021</v>
      </c>
      <c r="P4" s="76">
        <v>2022</v>
      </c>
      <c r="Q4" s="76">
        <v>2023</v>
      </c>
      <c r="R4" s="76">
        <v>2024</v>
      </c>
      <c r="S4" s="76">
        <v>2025</v>
      </c>
      <c r="T4" s="76">
        <v>2026</v>
      </c>
      <c r="U4" s="76">
        <v>2027</v>
      </c>
      <c r="V4" s="76">
        <v>2028</v>
      </c>
      <c r="W4" s="76">
        <v>2029</v>
      </c>
      <c r="X4" s="76">
        <v>2030</v>
      </c>
      <c r="Y4" s="76">
        <v>2031</v>
      </c>
      <c r="Z4" s="76">
        <v>2032</v>
      </c>
      <c r="AA4" s="76">
        <v>2033</v>
      </c>
      <c r="AB4" s="76">
        <v>2034</v>
      </c>
      <c r="AC4" s="76">
        <v>2035</v>
      </c>
      <c r="AD4" s="76">
        <v>2036</v>
      </c>
      <c r="AE4" s="76">
        <v>2037</v>
      </c>
      <c r="AF4" s="76">
        <v>2038</v>
      </c>
      <c r="AG4" s="76">
        <v>2039</v>
      </c>
      <c r="AH4" s="76">
        <v>2040</v>
      </c>
      <c r="AI4" s="76">
        <v>2041</v>
      </c>
      <c r="AJ4" s="76">
        <v>2042</v>
      </c>
      <c r="AK4" s="76">
        <v>2043</v>
      </c>
      <c r="AL4" s="76">
        <v>2044</v>
      </c>
      <c r="AM4" s="76">
        <v>2045</v>
      </c>
      <c r="AN4" s="76">
        <v>2046</v>
      </c>
      <c r="AO4" s="76">
        <v>2047</v>
      </c>
      <c r="AP4" s="76">
        <v>2048</v>
      </c>
      <c r="AQ4" s="76">
        <v>2049</v>
      </c>
      <c r="AR4" s="76">
        <v>2050</v>
      </c>
      <c r="AS4" s="76">
        <v>2051</v>
      </c>
      <c r="AT4" s="76">
        <v>2052</v>
      </c>
      <c r="AU4" s="76">
        <v>2053</v>
      </c>
      <c r="AV4" s="76">
        <v>2054</v>
      </c>
      <c r="AW4" s="76">
        <v>2055</v>
      </c>
      <c r="AX4" s="76">
        <v>2056</v>
      </c>
      <c r="AY4" s="76">
        <v>2057</v>
      </c>
      <c r="AZ4" s="76">
        <v>2058</v>
      </c>
      <c r="BA4" s="76">
        <v>2059</v>
      </c>
      <c r="BB4" s="76">
        <v>2060</v>
      </c>
      <c r="BC4" s="76">
        <v>2061</v>
      </c>
      <c r="BD4" s="76">
        <v>2062</v>
      </c>
      <c r="BE4" s="76">
        <v>2063</v>
      </c>
      <c r="BF4" s="76">
        <v>2064</v>
      </c>
      <c r="BG4" s="76">
        <v>2065</v>
      </c>
      <c r="BH4" s="76">
        <v>2066</v>
      </c>
      <c r="BI4" s="76">
        <v>2067</v>
      </c>
      <c r="BJ4" s="76">
        <v>2068</v>
      </c>
      <c r="BK4" s="76">
        <v>2069</v>
      </c>
      <c r="BL4" s="76">
        <v>2070</v>
      </c>
      <c r="BM4" s="76">
        <v>2071</v>
      </c>
      <c r="BN4" s="76">
        <v>2072</v>
      </c>
      <c r="BO4" s="76">
        <v>2073</v>
      </c>
      <c r="BP4" s="76">
        <v>2074</v>
      </c>
      <c r="BQ4" s="76">
        <v>2075</v>
      </c>
      <c r="BR4" s="76">
        <v>2076</v>
      </c>
      <c r="BS4" s="76">
        <v>2077</v>
      </c>
      <c r="BT4" s="76">
        <v>2078</v>
      </c>
      <c r="BU4" s="76">
        <v>2079</v>
      </c>
      <c r="BV4" s="76">
        <v>2080</v>
      </c>
      <c r="BW4" s="76">
        <v>2081</v>
      </c>
      <c r="BX4" s="76">
        <v>2082</v>
      </c>
      <c r="BY4" s="76">
        <v>2083</v>
      </c>
      <c r="BZ4" s="76">
        <v>2084</v>
      </c>
      <c r="CA4" s="76">
        <v>2085</v>
      </c>
      <c r="CB4" s="76">
        <v>2086</v>
      </c>
      <c r="CC4" s="76">
        <v>2087</v>
      </c>
      <c r="CD4" s="76">
        <v>2088</v>
      </c>
      <c r="CE4" s="76">
        <v>2089</v>
      </c>
      <c r="CF4" s="76">
        <v>2090</v>
      </c>
      <c r="CG4" s="76">
        <v>2091</v>
      </c>
      <c r="CH4" s="76">
        <v>2092</v>
      </c>
      <c r="CI4" s="76">
        <v>2093</v>
      </c>
      <c r="CJ4" s="76">
        <v>2094</v>
      </c>
      <c r="CK4" s="76">
        <v>2095</v>
      </c>
      <c r="CL4" s="76">
        <v>2096</v>
      </c>
      <c r="CM4" s="76">
        <v>2097</v>
      </c>
      <c r="CN4" s="76">
        <v>2098</v>
      </c>
      <c r="CO4" s="76">
        <v>2099</v>
      </c>
      <c r="CP4" s="76">
        <v>2100</v>
      </c>
      <c r="CQ4" s="52" t="s">
        <v>25</v>
      </c>
    </row>
    <row r="5" spans="1:95" x14ac:dyDescent="0.25"/>
    <row r="6" spans="1:95" ht="18.75" x14ac:dyDescent="0.3">
      <c r="A6" s="55"/>
      <c r="B6" s="55" t="s">
        <v>16</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row>
    <row r="7" spans="1:95" hidden="1" outlineLevel="1" x14ac:dyDescent="0.25"/>
    <row r="8" spans="1:95" hidden="1" outlineLevel="1" x14ac:dyDescent="0.25">
      <c r="B8" t="s">
        <v>13</v>
      </c>
      <c r="C8" s="76">
        <f>Opening_year_in</f>
        <v>2026</v>
      </c>
      <c r="D8" s="52" t="s">
        <v>46</v>
      </c>
    </row>
    <row r="9" spans="1:95" hidden="1" outlineLevel="1" x14ac:dyDescent="0.25">
      <c r="B9" t="s">
        <v>13</v>
      </c>
      <c r="D9">
        <f t="shared" ref="D9:AI9" si="0">(Opening_year=year)*1</f>
        <v>0</v>
      </c>
      <c r="E9">
        <f t="shared" si="0"/>
        <v>0</v>
      </c>
      <c r="F9">
        <f>(Opening_year=year)*1</f>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c r="R9">
        <f t="shared" si="0"/>
        <v>0</v>
      </c>
      <c r="S9">
        <f t="shared" si="0"/>
        <v>0</v>
      </c>
      <c r="T9">
        <f t="shared" si="0"/>
        <v>1</v>
      </c>
      <c r="U9">
        <f t="shared" si="0"/>
        <v>0</v>
      </c>
      <c r="V9">
        <f t="shared" si="0"/>
        <v>0</v>
      </c>
      <c r="W9">
        <f t="shared" si="0"/>
        <v>0</v>
      </c>
      <c r="X9">
        <f t="shared" si="0"/>
        <v>0</v>
      </c>
      <c r="Y9">
        <f t="shared" si="0"/>
        <v>0</v>
      </c>
      <c r="Z9">
        <f t="shared" si="0"/>
        <v>0</v>
      </c>
      <c r="AA9">
        <f t="shared" si="0"/>
        <v>0</v>
      </c>
      <c r="AB9">
        <f t="shared" si="0"/>
        <v>0</v>
      </c>
      <c r="AC9">
        <f t="shared" si="0"/>
        <v>0</v>
      </c>
      <c r="AD9">
        <f t="shared" si="0"/>
        <v>0</v>
      </c>
      <c r="AE9">
        <f t="shared" si="0"/>
        <v>0</v>
      </c>
      <c r="AF9">
        <f t="shared" si="0"/>
        <v>0</v>
      </c>
      <c r="AG9">
        <f t="shared" si="0"/>
        <v>0</v>
      </c>
      <c r="AH9">
        <f t="shared" si="0"/>
        <v>0</v>
      </c>
      <c r="AI9">
        <f t="shared" si="0"/>
        <v>0</v>
      </c>
      <c r="AJ9">
        <f t="shared" ref="AJ9:BO9" si="1">(Opening_year=year)*1</f>
        <v>0</v>
      </c>
      <c r="AK9">
        <f t="shared" si="1"/>
        <v>0</v>
      </c>
      <c r="AL9">
        <f t="shared" si="1"/>
        <v>0</v>
      </c>
      <c r="AM9">
        <f t="shared" si="1"/>
        <v>0</v>
      </c>
      <c r="AN9">
        <f t="shared" si="1"/>
        <v>0</v>
      </c>
      <c r="AO9">
        <f t="shared" si="1"/>
        <v>0</v>
      </c>
      <c r="AP9">
        <f t="shared" si="1"/>
        <v>0</v>
      </c>
      <c r="AQ9">
        <f t="shared" si="1"/>
        <v>0</v>
      </c>
      <c r="AR9">
        <f t="shared" si="1"/>
        <v>0</v>
      </c>
      <c r="AS9">
        <f t="shared" si="1"/>
        <v>0</v>
      </c>
      <c r="AT9">
        <f t="shared" si="1"/>
        <v>0</v>
      </c>
      <c r="AU9">
        <f t="shared" si="1"/>
        <v>0</v>
      </c>
      <c r="AV9">
        <f t="shared" si="1"/>
        <v>0</v>
      </c>
      <c r="AW9">
        <f t="shared" si="1"/>
        <v>0</v>
      </c>
      <c r="AX9">
        <f t="shared" si="1"/>
        <v>0</v>
      </c>
      <c r="AY9">
        <f t="shared" si="1"/>
        <v>0</v>
      </c>
      <c r="AZ9">
        <f t="shared" si="1"/>
        <v>0</v>
      </c>
      <c r="BA9">
        <f t="shared" si="1"/>
        <v>0</v>
      </c>
      <c r="BB9">
        <f t="shared" si="1"/>
        <v>0</v>
      </c>
      <c r="BC9">
        <f t="shared" si="1"/>
        <v>0</v>
      </c>
      <c r="BD9">
        <f t="shared" si="1"/>
        <v>0</v>
      </c>
      <c r="BE9">
        <f t="shared" si="1"/>
        <v>0</v>
      </c>
      <c r="BF9">
        <f t="shared" si="1"/>
        <v>0</v>
      </c>
      <c r="BG9">
        <f t="shared" si="1"/>
        <v>0</v>
      </c>
      <c r="BH9">
        <f t="shared" si="1"/>
        <v>0</v>
      </c>
      <c r="BI9">
        <f t="shared" si="1"/>
        <v>0</v>
      </c>
      <c r="BJ9">
        <f t="shared" si="1"/>
        <v>0</v>
      </c>
      <c r="BK9">
        <f t="shared" si="1"/>
        <v>0</v>
      </c>
      <c r="BL9">
        <f t="shared" si="1"/>
        <v>0</v>
      </c>
      <c r="BM9">
        <f t="shared" si="1"/>
        <v>0</v>
      </c>
      <c r="BN9">
        <f t="shared" si="1"/>
        <v>0</v>
      </c>
      <c r="BO9">
        <f t="shared" si="1"/>
        <v>0</v>
      </c>
      <c r="BP9">
        <f t="shared" ref="BP9:CP9" si="2">(Opening_year=year)*1</f>
        <v>0</v>
      </c>
      <c r="BQ9">
        <f t="shared" si="2"/>
        <v>0</v>
      </c>
      <c r="BR9">
        <f t="shared" si="2"/>
        <v>0</v>
      </c>
      <c r="BS9">
        <f t="shared" si="2"/>
        <v>0</v>
      </c>
      <c r="BT9">
        <f t="shared" si="2"/>
        <v>0</v>
      </c>
      <c r="BU9">
        <f t="shared" si="2"/>
        <v>0</v>
      </c>
      <c r="BV9">
        <f t="shared" si="2"/>
        <v>0</v>
      </c>
      <c r="BW9">
        <f t="shared" si="2"/>
        <v>0</v>
      </c>
      <c r="BX9">
        <f t="shared" si="2"/>
        <v>0</v>
      </c>
      <c r="BY9">
        <f t="shared" si="2"/>
        <v>0</v>
      </c>
      <c r="BZ9">
        <f t="shared" si="2"/>
        <v>0</v>
      </c>
      <c r="CA9">
        <f t="shared" si="2"/>
        <v>0</v>
      </c>
      <c r="CB9">
        <f t="shared" si="2"/>
        <v>0</v>
      </c>
      <c r="CC9">
        <f t="shared" si="2"/>
        <v>0</v>
      </c>
      <c r="CD9">
        <f t="shared" si="2"/>
        <v>0</v>
      </c>
      <c r="CE9">
        <f t="shared" si="2"/>
        <v>0</v>
      </c>
      <c r="CF9">
        <f t="shared" si="2"/>
        <v>0</v>
      </c>
      <c r="CG9">
        <f t="shared" si="2"/>
        <v>0</v>
      </c>
      <c r="CH9">
        <f t="shared" si="2"/>
        <v>0</v>
      </c>
      <c r="CI9">
        <f t="shared" si="2"/>
        <v>0</v>
      </c>
      <c r="CJ9">
        <f t="shared" si="2"/>
        <v>0</v>
      </c>
      <c r="CK9">
        <f t="shared" si="2"/>
        <v>0</v>
      </c>
      <c r="CL9">
        <f t="shared" si="2"/>
        <v>0</v>
      </c>
      <c r="CM9">
        <f t="shared" si="2"/>
        <v>0</v>
      </c>
      <c r="CN9">
        <f t="shared" si="2"/>
        <v>0</v>
      </c>
      <c r="CO9">
        <f t="shared" si="2"/>
        <v>0</v>
      </c>
      <c r="CP9">
        <f t="shared" si="2"/>
        <v>0</v>
      </c>
      <c r="CQ9" s="52" t="s">
        <v>45</v>
      </c>
    </row>
    <row r="10" spans="1:95" hidden="1" outlineLevel="1" x14ac:dyDescent="0.25">
      <c r="CQ10" s="52"/>
    </row>
    <row r="11" spans="1:95" hidden="1" outlineLevel="1" x14ac:dyDescent="0.25">
      <c r="B11" t="s">
        <v>75</v>
      </c>
      <c r="C11" s="76">
        <f>Forecast_year_in</f>
        <v>2036</v>
      </c>
      <c r="D11" s="52" t="s">
        <v>83</v>
      </c>
      <c r="CQ11" s="52"/>
    </row>
    <row r="12" spans="1:95" hidden="1" outlineLevel="1" x14ac:dyDescent="0.25">
      <c r="B12" t="s">
        <v>75</v>
      </c>
      <c r="D12">
        <f t="shared" ref="D12:AI12" si="3">(Forecast_year=year)*1</f>
        <v>0</v>
      </c>
      <c r="E12">
        <f t="shared" si="3"/>
        <v>0</v>
      </c>
      <c r="F12">
        <f t="shared" si="3"/>
        <v>0</v>
      </c>
      <c r="G12">
        <f t="shared" si="3"/>
        <v>0</v>
      </c>
      <c r="H12">
        <f t="shared" si="3"/>
        <v>0</v>
      </c>
      <c r="I12">
        <f t="shared" si="3"/>
        <v>0</v>
      </c>
      <c r="J12">
        <f t="shared" si="3"/>
        <v>0</v>
      </c>
      <c r="K12">
        <f t="shared" si="3"/>
        <v>0</v>
      </c>
      <c r="L12">
        <f t="shared" si="3"/>
        <v>0</v>
      </c>
      <c r="M12">
        <f t="shared" si="3"/>
        <v>0</v>
      </c>
      <c r="N12">
        <f t="shared" si="3"/>
        <v>0</v>
      </c>
      <c r="O12">
        <f t="shared" si="3"/>
        <v>0</v>
      </c>
      <c r="P12">
        <f t="shared" si="3"/>
        <v>0</v>
      </c>
      <c r="Q12">
        <f t="shared" si="3"/>
        <v>0</v>
      </c>
      <c r="R12">
        <f t="shared" si="3"/>
        <v>0</v>
      </c>
      <c r="S12">
        <f t="shared" si="3"/>
        <v>0</v>
      </c>
      <c r="T12">
        <f t="shared" si="3"/>
        <v>0</v>
      </c>
      <c r="U12">
        <f t="shared" si="3"/>
        <v>0</v>
      </c>
      <c r="V12">
        <f t="shared" si="3"/>
        <v>0</v>
      </c>
      <c r="W12">
        <f t="shared" si="3"/>
        <v>0</v>
      </c>
      <c r="X12">
        <f t="shared" si="3"/>
        <v>0</v>
      </c>
      <c r="Y12">
        <f t="shared" si="3"/>
        <v>0</v>
      </c>
      <c r="Z12">
        <f t="shared" si="3"/>
        <v>0</v>
      </c>
      <c r="AA12">
        <f t="shared" si="3"/>
        <v>0</v>
      </c>
      <c r="AB12">
        <f t="shared" si="3"/>
        <v>0</v>
      </c>
      <c r="AC12">
        <f t="shared" si="3"/>
        <v>0</v>
      </c>
      <c r="AD12">
        <f t="shared" si="3"/>
        <v>1</v>
      </c>
      <c r="AE12">
        <f t="shared" si="3"/>
        <v>0</v>
      </c>
      <c r="AF12">
        <f t="shared" si="3"/>
        <v>0</v>
      </c>
      <c r="AG12">
        <f t="shared" si="3"/>
        <v>0</v>
      </c>
      <c r="AH12">
        <f t="shared" si="3"/>
        <v>0</v>
      </c>
      <c r="AI12">
        <f t="shared" si="3"/>
        <v>0</v>
      </c>
      <c r="AJ12">
        <f t="shared" ref="AJ12:BO12" si="4">(Forecast_year=year)*1</f>
        <v>0</v>
      </c>
      <c r="AK12">
        <f t="shared" si="4"/>
        <v>0</v>
      </c>
      <c r="AL12">
        <f t="shared" si="4"/>
        <v>0</v>
      </c>
      <c r="AM12">
        <f t="shared" si="4"/>
        <v>0</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c r="BA12">
        <f t="shared" si="4"/>
        <v>0</v>
      </c>
      <c r="BB12">
        <f t="shared" si="4"/>
        <v>0</v>
      </c>
      <c r="BC12">
        <f t="shared" si="4"/>
        <v>0</v>
      </c>
      <c r="BD12">
        <f t="shared" si="4"/>
        <v>0</v>
      </c>
      <c r="BE12">
        <f t="shared" si="4"/>
        <v>0</v>
      </c>
      <c r="BF12">
        <f t="shared" si="4"/>
        <v>0</v>
      </c>
      <c r="BG12">
        <f t="shared" si="4"/>
        <v>0</v>
      </c>
      <c r="BH12">
        <f t="shared" si="4"/>
        <v>0</v>
      </c>
      <c r="BI12">
        <f t="shared" si="4"/>
        <v>0</v>
      </c>
      <c r="BJ12">
        <f t="shared" si="4"/>
        <v>0</v>
      </c>
      <c r="BK12">
        <f t="shared" si="4"/>
        <v>0</v>
      </c>
      <c r="BL12">
        <f t="shared" si="4"/>
        <v>0</v>
      </c>
      <c r="BM12">
        <f t="shared" si="4"/>
        <v>0</v>
      </c>
      <c r="BN12">
        <f t="shared" si="4"/>
        <v>0</v>
      </c>
      <c r="BO12">
        <f t="shared" si="4"/>
        <v>0</v>
      </c>
      <c r="BP12">
        <f t="shared" ref="BP12:CP12" si="5">(Forecast_year=year)*1</f>
        <v>0</v>
      </c>
      <c r="BQ12">
        <f t="shared" si="5"/>
        <v>0</v>
      </c>
      <c r="BR12">
        <f t="shared" si="5"/>
        <v>0</v>
      </c>
      <c r="BS12">
        <f t="shared" si="5"/>
        <v>0</v>
      </c>
      <c r="BT12">
        <f t="shared" si="5"/>
        <v>0</v>
      </c>
      <c r="BU12">
        <f t="shared" si="5"/>
        <v>0</v>
      </c>
      <c r="BV12">
        <f t="shared" si="5"/>
        <v>0</v>
      </c>
      <c r="BW12">
        <f t="shared" si="5"/>
        <v>0</v>
      </c>
      <c r="BX12">
        <f t="shared" si="5"/>
        <v>0</v>
      </c>
      <c r="BY12">
        <f t="shared" si="5"/>
        <v>0</v>
      </c>
      <c r="BZ12">
        <f t="shared" si="5"/>
        <v>0</v>
      </c>
      <c r="CA12">
        <f t="shared" si="5"/>
        <v>0</v>
      </c>
      <c r="CB12">
        <f t="shared" si="5"/>
        <v>0</v>
      </c>
      <c r="CC12">
        <f t="shared" si="5"/>
        <v>0</v>
      </c>
      <c r="CD12">
        <f t="shared" si="5"/>
        <v>0</v>
      </c>
      <c r="CE12">
        <f t="shared" si="5"/>
        <v>0</v>
      </c>
      <c r="CF12">
        <f t="shared" si="5"/>
        <v>0</v>
      </c>
      <c r="CG12">
        <f t="shared" si="5"/>
        <v>0</v>
      </c>
      <c r="CH12">
        <f t="shared" si="5"/>
        <v>0</v>
      </c>
      <c r="CI12">
        <f t="shared" si="5"/>
        <v>0</v>
      </c>
      <c r="CJ12">
        <f t="shared" si="5"/>
        <v>0</v>
      </c>
      <c r="CK12">
        <f t="shared" si="5"/>
        <v>0</v>
      </c>
      <c r="CL12">
        <f t="shared" si="5"/>
        <v>0</v>
      </c>
      <c r="CM12">
        <f t="shared" si="5"/>
        <v>0</v>
      </c>
      <c r="CN12">
        <f t="shared" si="5"/>
        <v>0</v>
      </c>
      <c r="CO12">
        <f t="shared" si="5"/>
        <v>0</v>
      </c>
      <c r="CP12">
        <f t="shared" si="5"/>
        <v>0</v>
      </c>
      <c r="CQ12" s="52" t="s">
        <v>85</v>
      </c>
    </row>
    <row r="13" spans="1:95" hidden="1" outlineLevel="1" x14ac:dyDescent="0.25">
      <c r="CQ13" s="52"/>
    </row>
    <row r="14" spans="1:95" hidden="1" outlineLevel="1" x14ac:dyDescent="0.25">
      <c r="B14" t="s">
        <v>320</v>
      </c>
      <c r="C14">
        <f>Forecast_year-Opening_year</f>
        <v>10</v>
      </c>
      <c r="D14" s="52" t="s">
        <v>410</v>
      </c>
      <c r="CQ14" s="52"/>
    </row>
    <row r="15" spans="1:95" hidden="1" outlineLevel="1" x14ac:dyDescent="0.25">
      <c r="B15" t="s">
        <v>88</v>
      </c>
      <c r="C15">
        <f>Appraisal_period_length_in</f>
        <v>60</v>
      </c>
      <c r="D15" s="52" t="s">
        <v>113</v>
      </c>
    </row>
    <row r="16" spans="1:95" hidden="1" outlineLevel="1" x14ac:dyDescent="0.25"/>
    <row r="17" spans="1:95" hidden="1" outlineLevel="1" x14ac:dyDescent="0.25">
      <c r="B17" t="s">
        <v>84</v>
      </c>
      <c r="D17">
        <f t="shared" ref="D17:AI17" si="6">AND(Opening_year&lt;year,Forecast_year&gt;year)*1</f>
        <v>0</v>
      </c>
      <c r="E17">
        <f t="shared" si="6"/>
        <v>0</v>
      </c>
      <c r="F17">
        <f t="shared" si="6"/>
        <v>0</v>
      </c>
      <c r="G17">
        <f t="shared" si="6"/>
        <v>0</v>
      </c>
      <c r="H17">
        <f t="shared" si="6"/>
        <v>0</v>
      </c>
      <c r="I17">
        <f t="shared" si="6"/>
        <v>0</v>
      </c>
      <c r="J17">
        <f t="shared" si="6"/>
        <v>0</v>
      </c>
      <c r="K17">
        <f t="shared" si="6"/>
        <v>0</v>
      </c>
      <c r="L17">
        <f t="shared" si="6"/>
        <v>0</v>
      </c>
      <c r="M17">
        <f t="shared" si="6"/>
        <v>0</v>
      </c>
      <c r="N17">
        <f t="shared" si="6"/>
        <v>0</v>
      </c>
      <c r="O17">
        <f t="shared" si="6"/>
        <v>0</v>
      </c>
      <c r="P17">
        <f t="shared" si="6"/>
        <v>0</v>
      </c>
      <c r="Q17">
        <f t="shared" si="6"/>
        <v>0</v>
      </c>
      <c r="R17">
        <f t="shared" si="6"/>
        <v>0</v>
      </c>
      <c r="S17">
        <f t="shared" si="6"/>
        <v>0</v>
      </c>
      <c r="T17">
        <f t="shared" si="6"/>
        <v>0</v>
      </c>
      <c r="U17">
        <f t="shared" si="6"/>
        <v>1</v>
      </c>
      <c r="V17">
        <f t="shared" si="6"/>
        <v>1</v>
      </c>
      <c r="W17">
        <f t="shared" si="6"/>
        <v>1</v>
      </c>
      <c r="X17">
        <f t="shared" si="6"/>
        <v>1</v>
      </c>
      <c r="Y17">
        <f t="shared" si="6"/>
        <v>1</v>
      </c>
      <c r="Z17">
        <f t="shared" si="6"/>
        <v>1</v>
      </c>
      <c r="AA17">
        <f t="shared" si="6"/>
        <v>1</v>
      </c>
      <c r="AB17">
        <f t="shared" si="6"/>
        <v>1</v>
      </c>
      <c r="AC17">
        <f t="shared" si="6"/>
        <v>1</v>
      </c>
      <c r="AD17">
        <f t="shared" si="6"/>
        <v>0</v>
      </c>
      <c r="AE17">
        <f t="shared" si="6"/>
        <v>0</v>
      </c>
      <c r="AF17">
        <f t="shared" si="6"/>
        <v>0</v>
      </c>
      <c r="AG17">
        <f t="shared" si="6"/>
        <v>0</v>
      </c>
      <c r="AH17">
        <f t="shared" si="6"/>
        <v>0</v>
      </c>
      <c r="AI17">
        <f t="shared" si="6"/>
        <v>0</v>
      </c>
      <c r="AJ17">
        <f t="shared" ref="AJ17:BO17" si="7">AND(Opening_year&lt;year,Forecast_year&gt;year)*1</f>
        <v>0</v>
      </c>
      <c r="AK17">
        <f t="shared" si="7"/>
        <v>0</v>
      </c>
      <c r="AL17">
        <f t="shared" si="7"/>
        <v>0</v>
      </c>
      <c r="AM17">
        <f t="shared" si="7"/>
        <v>0</v>
      </c>
      <c r="AN17">
        <f t="shared" si="7"/>
        <v>0</v>
      </c>
      <c r="AO17">
        <f t="shared" si="7"/>
        <v>0</v>
      </c>
      <c r="AP17">
        <f t="shared" si="7"/>
        <v>0</v>
      </c>
      <c r="AQ17">
        <f t="shared" si="7"/>
        <v>0</v>
      </c>
      <c r="AR17">
        <f t="shared" si="7"/>
        <v>0</v>
      </c>
      <c r="AS17">
        <f t="shared" si="7"/>
        <v>0</v>
      </c>
      <c r="AT17">
        <f t="shared" si="7"/>
        <v>0</v>
      </c>
      <c r="AU17">
        <f t="shared" si="7"/>
        <v>0</v>
      </c>
      <c r="AV17">
        <f t="shared" si="7"/>
        <v>0</v>
      </c>
      <c r="AW17">
        <f t="shared" si="7"/>
        <v>0</v>
      </c>
      <c r="AX17">
        <f t="shared" si="7"/>
        <v>0</v>
      </c>
      <c r="AY17">
        <f t="shared" si="7"/>
        <v>0</v>
      </c>
      <c r="AZ17">
        <f t="shared" si="7"/>
        <v>0</v>
      </c>
      <c r="BA17">
        <f t="shared" si="7"/>
        <v>0</v>
      </c>
      <c r="BB17">
        <f t="shared" si="7"/>
        <v>0</v>
      </c>
      <c r="BC17">
        <f t="shared" si="7"/>
        <v>0</v>
      </c>
      <c r="BD17">
        <f t="shared" si="7"/>
        <v>0</v>
      </c>
      <c r="BE17">
        <f t="shared" si="7"/>
        <v>0</v>
      </c>
      <c r="BF17">
        <f t="shared" si="7"/>
        <v>0</v>
      </c>
      <c r="BG17">
        <f t="shared" si="7"/>
        <v>0</v>
      </c>
      <c r="BH17">
        <f t="shared" si="7"/>
        <v>0</v>
      </c>
      <c r="BI17">
        <f t="shared" si="7"/>
        <v>0</v>
      </c>
      <c r="BJ17">
        <f t="shared" si="7"/>
        <v>0</v>
      </c>
      <c r="BK17">
        <f t="shared" si="7"/>
        <v>0</v>
      </c>
      <c r="BL17">
        <f t="shared" si="7"/>
        <v>0</v>
      </c>
      <c r="BM17">
        <f t="shared" si="7"/>
        <v>0</v>
      </c>
      <c r="BN17">
        <f t="shared" si="7"/>
        <v>0</v>
      </c>
      <c r="BO17">
        <f t="shared" si="7"/>
        <v>0</v>
      </c>
      <c r="BP17">
        <f t="shared" ref="BP17:CP17" si="8">AND(Opening_year&lt;year,Forecast_year&gt;year)*1</f>
        <v>0</v>
      </c>
      <c r="BQ17">
        <f t="shared" si="8"/>
        <v>0</v>
      </c>
      <c r="BR17">
        <f t="shared" si="8"/>
        <v>0</v>
      </c>
      <c r="BS17">
        <f t="shared" si="8"/>
        <v>0</v>
      </c>
      <c r="BT17">
        <f t="shared" si="8"/>
        <v>0</v>
      </c>
      <c r="BU17">
        <f t="shared" si="8"/>
        <v>0</v>
      </c>
      <c r="BV17">
        <f t="shared" si="8"/>
        <v>0</v>
      </c>
      <c r="BW17">
        <f t="shared" si="8"/>
        <v>0</v>
      </c>
      <c r="BX17">
        <f t="shared" si="8"/>
        <v>0</v>
      </c>
      <c r="BY17">
        <f t="shared" si="8"/>
        <v>0</v>
      </c>
      <c r="BZ17">
        <f t="shared" si="8"/>
        <v>0</v>
      </c>
      <c r="CA17">
        <f t="shared" si="8"/>
        <v>0</v>
      </c>
      <c r="CB17">
        <f t="shared" si="8"/>
        <v>0</v>
      </c>
      <c r="CC17">
        <f t="shared" si="8"/>
        <v>0</v>
      </c>
      <c r="CD17">
        <f t="shared" si="8"/>
        <v>0</v>
      </c>
      <c r="CE17">
        <f t="shared" si="8"/>
        <v>0</v>
      </c>
      <c r="CF17">
        <f t="shared" si="8"/>
        <v>0</v>
      </c>
      <c r="CG17">
        <f t="shared" si="8"/>
        <v>0</v>
      </c>
      <c r="CH17">
        <f t="shared" si="8"/>
        <v>0</v>
      </c>
      <c r="CI17">
        <f t="shared" si="8"/>
        <v>0</v>
      </c>
      <c r="CJ17">
        <f t="shared" si="8"/>
        <v>0</v>
      </c>
      <c r="CK17">
        <f t="shared" si="8"/>
        <v>0</v>
      </c>
      <c r="CL17">
        <f t="shared" si="8"/>
        <v>0</v>
      </c>
      <c r="CM17">
        <f t="shared" si="8"/>
        <v>0</v>
      </c>
      <c r="CN17">
        <f t="shared" si="8"/>
        <v>0</v>
      </c>
      <c r="CO17">
        <f t="shared" si="8"/>
        <v>0</v>
      </c>
      <c r="CP17">
        <f t="shared" si="8"/>
        <v>0</v>
      </c>
      <c r="CQ17" s="52" t="s">
        <v>112</v>
      </c>
    </row>
    <row r="18" spans="1:95" hidden="1" outlineLevel="1" x14ac:dyDescent="0.25">
      <c r="CQ18" s="52"/>
    </row>
    <row r="19" spans="1:95" hidden="1" outlineLevel="1" x14ac:dyDescent="0.25">
      <c r="B19" t="s">
        <v>115</v>
      </c>
      <c r="D19">
        <f t="shared" ref="D19:AI19" si="9">AND(year&gt;Forecast_year,year&lt;(Opening_year + Appraisal_period_length))*1</f>
        <v>0</v>
      </c>
      <c r="E19">
        <f t="shared" si="9"/>
        <v>0</v>
      </c>
      <c r="F19">
        <f t="shared" si="9"/>
        <v>0</v>
      </c>
      <c r="G19">
        <f t="shared" si="9"/>
        <v>0</v>
      </c>
      <c r="H19">
        <f t="shared" si="9"/>
        <v>0</v>
      </c>
      <c r="I19">
        <f t="shared" si="9"/>
        <v>0</v>
      </c>
      <c r="J19">
        <f t="shared" si="9"/>
        <v>0</v>
      </c>
      <c r="K19">
        <f t="shared" si="9"/>
        <v>0</v>
      </c>
      <c r="L19">
        <f t="shared" si="9"/>
        <v>0</v>
      </c>
      <c r="M19">
        <f t="shared" si="9"/>
        <v>0</v>
      </c>
      <c r="N19">
        <f t="shared" si="9"/>
        <v>0</v>
      </c>
      <c r="O19">
        <f t="shared" si="9"/>
        <v>0</v>
      </c>
      <c r="P19">
        <f t="shared" si="9"/>
        <v>0</v>
      </c>
      <c r="Q19">
        <f t="shared" si="9"/>
        <v>0</v>
      </c>
      <c r="R19">
        <f t="shared" si="9"/>
        <v>0</v>
      </c>
      <c r="S19">
        <f t="shared" si="9"/>
        <v>0</v>
      </c>
      <c r="T19">
        <f t="shared" si="9"/>
        <v>0</v>
      </c>
      <c r="U19">
        <f t="shared" si="9"/>
        <v>0</v>
      </c>
      <c r="V19">
        <f t="shared" si="9"/>
        <v>0</v>
      </c>
      <c r="W19">
        <f t="shared" si="9"/>
        <v>0</v>
      </c>
      <c r="X19">
        <f t="shared" si="9"/>
        <v>0</v>
      </c>
      <c r="Y19">
        <f t="shared" si="9"/>
        <v>0</v>
      </c>
      <c r="Z19">
        <f t="shared" si="9"/>
        <v>0</v>
      </c>
      <c r="AA19">
        <f t="shared" si="9"/>
        <v>0</v>
      </c>
      <c r="AB19">
        <f t="shared" si="9"/>
        <v>0</v>
      </c>
      <c r="AC19">
        <f t="shared" si="9"/>
        <v>0</v>
      </c>
      <c r="AD19">
        <f t="shared" si="9"/>
        <v>0</v>
      </c>
      <c r="AE19">
        <f t="shared" si="9"/>
        <v>1</v>
      </c>
      <c r="AF19">
        <f t="shared" si="9"/>
        <v>1</v>
      </c>
      <c r="AG19">
        <f t="shared" si="9"/>
        <v>1</v>
      </c>
      <c r="AH19">
        <f t="shared" si="9"/>
        <v>1</v>
      </c>
      <c r="AI19">
        <f t="shared" si="9"/>
        <v>1</v>
      </c>
      <c r="AJ19">
        <f t="shared" ref="AJ19:BO19" si="10">AND(year&gt;Forecast_year,year&lt;(Opening_year + Appraisal_period_length))*1</f>
        <v>1</v>
      </c>
      <c r="AK19">
        <f t="shared" si="10"/>
        <v>1</v>
      </c>
      <c r="AL19">
        <f t="shared" si="10"/>
        <v>1</v>
      </c>
      <c r="AM19">
        <f t="shared" si="10"/>
        <v>1</v>
      </c>
      <c r="AN19">
        <f t="shared" si="10"/>
        <v>1</v>
      </c>
      <c r="AO19">
        <f t="shared" si="10"/>
        <v>1</v>
      </c>
      <c r="AP19">
        <f t="shared" si="10"/>
        <v>1</v>
      </c>
      <c r="AQ19">
        <f t="shared" si="10"/>
        <v>1</v>
      </c>
      <c r="AR19">
        <f t="shared" si="10"/>
        <v>1</v>
      </c>
      <c r="AS19">
        <f t="shared" si="10"/>
        <v>1</v>
      </c>
      <c r="AT19">
        <f t="shared" si="10"/>
        <v>1</v>
      </c>
      <c r="AU19">
        <f t="shared" si="10"/>
        <v>1</v>
      </c>
      <c r="AV19">
        <f t="shared" si="10"/>
        <v>1</v>
      </c>
      <c r="AW19">
        <f t="shared" si="10"/>
        <v>1</v>
      </c>
      <c r="AX19">
        <f t="shared" si="10"/>
        <v>1</v>
      </c>
      <c r="AY19">
        <f t="shared" si="10"/>
        <v>1</v>
      </c>
      <c r="AZ19">
        <f t="shared" si="10"/>
        <v>1</v>
      </c>
      <c r="BA19">
        <f t="shared" si="10"/>
        <v>1</v>
      </c>
      <c r="BB19">
        <f t="shared" si="10"/>
        <v>1</v>
      </c>
      <c r="BC19">
        <f t="shared" si="10"/>
        <v>1</v>
      </c>
      <c r="BD19">
        <f t="shared" si="10"/>
        <v>1</v>
      </c>
      <c r="BE19">
        <f t="shared" si="10"/>
        <v>1</v>
      </c>
      <c r="BF19">
        <f t="shared" si="10"/>
        <v>1</v>
      </c>
      <c r="BG19">
        <f t="shared" si="10"/>
        <v>1</v>
      </c>
      <c r="BH19">
        <f t="shared" si="10"/>
        <v>1</v>
      </c>
      <c r="BI19">
        <f t="shared" si="10"/>
        <v>1</v>
      </c>
      <c r="BJ19">
        <f t="shared" si="10"/>
        <v>1</v>
      </c>
      <c r="BK19">
        <f t="shared" si="10"/>
        <v>1</v>
      </c>
      <c r="BL19">
        <f t="shared" si="10"/>
        <v>1</v>
      </c>
      <c r="BM19">
        <f t="shared" si="10"/>
        <v>1</v>
      </c>
      <c r="BN19">
        <f t="shared" si="10"/>
        <v>1</v>
      </c>
      <c r="BO19">
        <f t="shared" si="10"/>
        <v>1</v>
      </c>
      <c r="BP19">
        <f t="shared" ref="BP19:CP19" si="11">AND(year&gt;Forecast_year,year&lt;(Opening_year + Appraisal_period_length))*1</f>
        <v>1</v>
      </c>
      <c r="BQ19">
        <f t="shared" si="11"/>
        <v>1</v>
      </c>
      <c r="BR19">
        <f t="shared" si="11"/>
        <v>1</v>
      </c>
      <c r="BS19">
        <f t="shared" si="11"/>
        <v>1</v>
      </c>
      <c r="BT19">
        <f t="shared" si="11"/>
        <v>1</v>
      </c>
      <c r="BU19">
        <f t="shared" si="11"/>
        <v>1</v>
      </c>
      <c r="BV19">
        <f t="shared" si="11"/>
        <v>1</v>
      </c>
      <c r="BW19">
        <f t="shared" si="11"/>
        <v>1</v>
      </c>
      <c r="BX19">
        <f t="shared" si="11"/>
        <v>1</v>
      </c>
      <c r="BY19">
        <f t="shared" si="11"/>
        <v>1</v>
      </c>
      <c r="BZ19">
        <f t="shared" si="11"/>
        <v>1</v>
      </c>
      <c r="CA19">
        <f t="shared" si="11"/>
        <v>1</v>
      </c>
      <c r="CB19">
        <f t="shared" si="11"/>
        <v>0</v>
      </c>
      <c r="CC19">
        <f t="shared" si="11"/>
        <v>0</v>
      </c>
      <c r="CD19">
        <f t="shared" si="11"/>
        <v>0</v>
      </c>
      <c r="CE19">
        <f t="shared" si="11"/>
        <v>0</v>
      </c>
      <c r="CF19">
        <f t="shared" si="11"/>
        <v>0</v>
      </c>
      <c r="CG19">
        <f t="shared" si="11"/>
        <v>0</v>
      </c>
      <c r="CH19">
        <f t="shared" si="11"/>
        <v>0</v>
      </c>
      <c r="CI19">
        <f t="shared" si="11"/>
        <v>0</v>
      </c>
      <c r="CJ19">
        <f t="shared" si="11"/>
        <v>0</v>
      </c>
      <c r="CK19">
        <f t="shared" si="11"/>
        <v>0</v>
      </c>
      <c r="CL19">
        <f t="shared" si="11"/>
        <v>0</v>
      </c>
      <c r="CM19">
        <f t="shared" si="11"/>
        <v>0</v>
      </c>
      <c r="CN19">
        <f t="shared" si="11"/>
        <v>0</v>
      </c>
      <c r="CO19">
        <f t="shared" si="11"/>
        <v>0</v>
      </c>
      <c r="CP19">
        <f t="shared" si="11"/>
        <v>0</v>
      </c>
      <c r="CQ19" s="52" t="s">
        <v>116</v>
      </c>
    </row>
    <row r="20" spans="1:95" hidden="1" outlineLevel="1" x14ac:dyDescent="0.25">
      <c r="CQ20" s="52"/>
    </row>
    <row r="21" spans="1:95" hidden="1" outlineLevel="1" x14ac:dyDescent="0.25">
      <c r="B21" t="s">
        <v>16</v>
      </c>
      <c r="D21">
        <f t="shared" ref="D21:BO21" si="12">Opening_year_mask + Interpolation_mask + Forecast_year_mask + Extrapolation_mask</f>
        <v>0</v>
      </c>
      <c r="E21">
        <f t="shared" si="12"/>
        <v>0</v>
      </c>
      <c r="F21">
        <f t="shared" si="12"/>
        <v>0</v>
      </c>
      <c r="G21">
        <f t="shared" si="12"/>
        <v>0</v>
      </c>
      <c r="H21">
        <f t="shared" si="12"/>
        <v>0</v>
      </c>
      <c r="I21">
        <f t="shared" si="12"/>
        <v>0</v>
      </c>
      <c r="J21">
        <f t="shared" si="12"/>
        <v>0</v>
      </c>
      <c r="K21">
        <f t="shared" si="12"/>
        <v>0</v>
      </c>
      <c r="L21">
        <f t="shared" si="12"/>
        <v>0</v>
      </c>
      <c r="M21">
        <f t="shared" si="12"/>
        <v>0</v>
      </c>
      <c r="N21">
        <f t="shared" si="12"/>
        <v>0</v>
      </c>
      <c r="O21">
        <f t="shared" si="12"/>
        <v>0</v>
      </c>
      <c r="P21">
        <f t="shared" si="12"/>
        <v>0</v>
      </c>
      <c r="Q21">
        <f t="shared" si="12"/>
        <v>0</v>
      </c>
      <c r="R21">
        <f t="shared" si="12"/>
        <v>0</v>
      </c>
      <c r="S21">
        <f t="shared" si="12"/>
        <v>0</v>
      </c>
      <c r="T21">
        <f t="shared" si="12"/>
        <v>1</v>
      </c>
      <c r="U21">
        <f t="shared" si="12"/>
        <v>1</v>
      </c>
      <c r="V21">
        <f t="shared" si="12"/>
        <v>1</v>
      </c>
      <c r="W21">
        <f t="shared" si="12"/>
        <v>1</v>
      </c>
      <c r="X21">
        <f t="shared" si="12"/>
        <v>1</v>
      </c>
      <c r="Y21">
        <f t="shared" si="12"/>
        <v>1</v>
      </c>
      <c r="Z21">
        <f t="shared" si="12"/>
        <v>1</v>
      </c>
      <c r="AA21">
        <f t="shared" si="12"/>
        <v>1</v>
      </c>
      <c r="AB21">
        <f t="shared" si="12"/>
        <v>1</v>
      </c>
      <c r="AC21">
        <f t="shared" si="12"/>
        <v>1</v>
      </c>
      <c r="AD21">
        <f t="shared" si="12"/>
        <v>1</v>
      </c>
      <c r="AE21">
        <f t="shared" si="12"/>
        <v>1</v>
      </c>
      <c r="AF21">
        <f t="shared" si="12"/>
        <v>1</v>
      </c>
      <c r="AG21">
        <f t="shared" si="12"/>
        <v>1</v>
      </c>
      <c r="AH21">
        <f t="shared" si="12"/>
        <v>1</v>
      </c>
      <c r="AI21">
        <f t="shared" si="12"/>
        <v>1</v>
      </c>
      <c r="AJ21">
        <f t="shared" si="12"/>
        <v>1</v>
      </c>
      <c r="AK21">
        <f t="shared" si="12"/>
        <v>1</v>
      </c>
      <c r="AL21">
        <f t="shared" si="12"/>
        <v>1</v>
      </c>
      <c r="AM21">
        <f t="shared" si="12"/>
        <v>1</v>
      </c>
      <c r="AN21">
        <f t="shared" si="12"/>
        <v>1</v>
      </c>
      <c r="AO21">
        <f t="shared" si="12"/>
        <v>1</v>
      </c>
      <c r="AP21">
        <f t="shared" si="12"/>
        <v>1</v>
      </c>
      <c r="AQ21">
        <f t="shared" si="12"/>
        <v>1</v>
      </c>
      <c r="AR21">
        <f t="shared" si="12"/>
        <v>1</v>
      </c>
      <c r="AS21">
        <f t="shared" si="12"/>
        <v>1</v>
      </c>
      <c r="AT21">
        <f t="shared" si="12"/>
        <v>1</v>
      </c>
      <c r="AU21">
        <f t="shared" si="12"/>
        <v>1</v>
      </c>
      <c r="AV21">
        <f t="shared" si="12"/>
        <v>1</v>
      </c>
      <c r="AW21">
        <f t="shared" si="12"/>
        <v>1</v>
      </c>
      <c r="AX21">
        <f t="shared" si="12"/>
        <v>1</v>
      </c>
      <c r="AY21">
        <f t="shared" si="12"/>
        <v>1</v>
      </c>
      <c r="AZ21">
        <f t="shared" si="12"/>
        <v>1</v>
      </c>
      <c r="BA21">
        <f t="shared" si="12"/>
        <v>1</v>
      </c>
      <c r="BB21">
        <f t="shared" si="12"/>
        <v>1</v>
      </c>
      <c r="BC21">
        <f t="shared" si="12"/>
        <v>1</v>
      </c>
      <c r="BD21">
        <f t="shared" si="12"/>
        <v>1</v>
      </c>
      <c r="BE21">
        <f t="shared" si="12"/>
        <v>1</v>
      </c>
      <c r="BF21">
        <f t="shared" si="12"/>
        <v>1</v>
      </c>
      <c r="BG21">
        <f t="shared" si="12"/>
        <v>1</v>
      </c>
      <c r="BH21">
        <f t="shared" si="12"/>
        <v>1</v>
      </c>
      <c r="BI21">
        <f t="shared" si="12"/>
        <v>1</v>
      </c>
      <c r="BJ21">
        <f t="shared" si="12"/>
        <v>1</v>
      </c>
      <c r="BK21">
        <f t="shared" si="12"/>
        <v>1</v>
      </c>
      <c r="BL21">
        <f t="shared" si="12"/>
        <v>1</v>
      </c>
      <c r="BM21">
        <f t="shared" si="12"/>
        <v>1</v>
      </c>
      <c r="BN21">
        <f t="shared" si="12"/>
        <v>1</v>
      </c>
      <c r="BO21">
        <f t="shared" si="12"/>
        <v>1</v>
      </c>
      <c r="BP21">
        <f t="shared" ref="BP21:CP21" si="13">Opening_year_mask + Interpolation_mask + Forecast_year_mask + Extrapolation_mask</f>
        <v>1</v>
      </c>
      <c r="BQ21">
        <f t="shared" si="13"/>
        <v>1</v>
      </c>
      <c r="BR21">
        <f t="shared" si="13"/>
        <v>1</v>
      </c>
      <c r="BS21">
        <f t="shared" si="13"/>
        <v>1</v>
      </c>
      <c r="BT21">
        <f t="shared" si="13"/>
        <v>1</v>
      </c>
      <c r="BU21">
        <f t="shared" si="13"/>
        <v>1</v>
      </c>
      <c r="BV21">
        <f t="shared" si="13"/>
        <v>1</v>
      </c>
      <c r="BW21">
        <f t="shared" si="13"/>
        <v>1</v>
      </c>
      <c r="BX21">
        <f t="shared" si="13"/>
        <v>1</v>
      </c>
      <c r="BY21">
        <f t="shared" si="13"/>
        <v>1</v>
      </c>
      <c r="BZ21">
        <f t="shared" si="13"/>
        <v>1</v>
      </c>
      <c r="CA21">
        <f t="shared" si="13"/>
        <v>1</v>
      </c>
      <c r="CB21">
        <f t="shared" si="13"/>
        <v>0</v>
      </c>
      <c r="CC21">
        <f t="shared" si="13"/>
        <v>0</v>
      </c>
      <c r="CD21">
        <f t="shared" si="13"/>
        <v>0</v>
      </c>
      <c r="CE21">
        <f t="shared" si="13"/>
        <v>0</v>
      </c>
      <c r="CF21">
        <f t="shared" si="13"/>
        <v>0</v>
      </c>
      <c r="CG21">
        <f t="shared" si="13"/>
        <v>0</v>
      </c>
      <c r="CH21">
        <f t="shared" si="13"/>
        <v>0</v>
      </c>
      <c r="CI21">
        <f t="shared" si="13"/>
        <v>0</v>
      </c>
      <c r="CJ21">
        <f t="shared" si="13"/>
        <v>0</v>
      </c>
      <c r="CK21">
        <f t="shared" si="13"/>
        <v>0</v>
      </c>
      <c r="CL21">
        <f t="shared" si="13"/>
        <v>0</v>
      </c>
      <c r="CM21">
        <f t="shared" si="13"/>
        <v>0</v>
      </c>
      <c r="CN21">
        <f t="shared" si="13"/>
        <v>0</v>
      </c>
      <c r="CO21">
        <f t="shared" si="13"/>
        <v>0</v>
      </c>
      <c r="CP21">
        <f t="shared" si="13"/>
        <v>0</v>
      </c>
      <c r="CQ21" s="52" t="s">
        <v>87</v>
      </c>
    </row>
    <row r="22" spans="1:95" hidden="1" outlineLevel="1" x14ac:dyDescent="0.25">
      <c r="CQ22" s="52"/>
    </row>
    <row r="23" spans="1:95" hidden="1" outlineLevel="1" x14ac:dyDescent="0.25">
      <c r="B23" t="s">
        <v>193</v>
      </c>
      <c r="C23" t="b">
        <f>SUM(Appraisal_period)=Appraisal_period_length</f>
        <v>1</v>
      </c>
    </row>
    <row r="24" spans="1:95" collapsed="1" x14ac:dyDescent="0.25"/>
    <row r="25" spans="1:95" ht="18.75" x14ac:dyDescent="0.3">
      <c r="A25" s="55"/>
      <c r="B25" s="55" t="s">
        <v>419</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row>
    <row r="26" spans="1:95" outlineLevel="1" x14ac:dyDescent="0.25"/>
    <row r="27" spans="1:95" ht="15.75" outlineLevel="1" x14ac:dyDescent="0.25">
      <c r="A27" s="56"/>
      <c r="B27" s="56" t="s">
        <v>305</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row>
    <row r="28" spans="1:95" ht="15.75" outlineLevel="1" x14ac:dyDescent="0.2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row>
    <row r="29" spans="1:95" ht="15.75" outlineLevel="1" x14ac:dyDescent="0.25">
      <c r="A29" s="77"/>
      <c r="B29" s="77"/>
      <c r="C29" s="76">
        <f>Opening_year</f>
        <v>2026</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row>
    <row r="30" spans="1:95" ht="15.75" outlineLevel="1" x14ac:dyDescent="0.25">
      <c r="A30" s="77"/>
      <c r="B30" s="142" t="s">
        <v>292</v>
      </c>
      <c r="C30" s="82">
        <f>Opening_year_without_scheme_NOx_emissions_in</f>
        <v>136.43438145432202</v>
      </c>
      <c r="D30" s="52" t="s">
        <v>79</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row>
    <row r="31" spans="1:95" ht="15.75" outlineLevel="1" x14ac:dyDescent="0.2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row>
    <row r="32" spans="1:95" ht="15.75" outlineLevel="1" x14ac:dyDescent="0.25">
      <c r="A32" s="77"/>
      <c r="B32" s="77"/>
      <c r="C32" s="76">
        <f>Forecast_year</f>
        <v>2036</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row>
    <row r="33" spans="1:95" ht="15.75" outlineLevel="1" x14ac:dyDescent="0.25">
      <c r="A33" s="77"/>
      <c r="B33" s="142" t="s">
        <v>293</v>
      </c>
      <c r="C33" s="83">
        <f>Forecast_year_without_scheme_NOx_emissions_in</f>
        <v>129.99034692001342</v>
      </c>
      <c r="D33" s="52" t="s">
        <v>80</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row>
    <row r="34" spans="1:95" ht="15.75" outlineLevel="1" x14ac:dyDescent="0.2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row>
    <row r="35" spans="1:95" ht="15.75" outlineLevel="1" x14ac:dyDescent="0.25">
      <c r="A35" s="77"/>
      <c r="B35" s="141" t="s">
        <v>92</v>
      </c>
      <c r="C35" s="144">
        <f>Forecast_year_without_scheme_NOx_emissions-Opening_year_without_scheme_NOx_emissions</f>
        <v>-6.4440345343085994</v>
      </c>
      <c r="D35" s="143" t="s">
        <v>294</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row>
    <row r="36" spans="1:95" outlineLevel="1" x14ac:dyDescent="0.25"/>
    <row r="37" spans="1:95" outlineLevel="1" x14ac:dyDescent="0.25">
      <c r="B37" t="s">
        <v>13</v>
      </c>
      <c r="D37" s="53">
        <f>Opening_year_without_scheme_NOx_emissions*Opening_year_mask</f>
        <v>0</v>
      </c>
      <c r="E37" s="53">
        <f t="shared" ref="E37:AI37" si="14">Opening_year_without_scheme_NOx_emissions*Opening_year_mask</f>
        <v>0</v>
      </c>
      <c r="F37" s="53">
        <f t="shared" si="14"/>
        <v>0</v>
      </c>
      <c r="G37" s="53">
        <f t="shared" si="14"/>
        <v>0</v>
      </c>
      <c r="H37" s="53">
        <f t="shared" si="14"/>
        <v>0</v>
      </c>
      <c r="I37" s="53">
        <f t="shared" si="14"/>
        <v>0</v>
      </c>
      <c r="J37" s="53">
        <f t="shared" si="14"/>
        <v>0</v>
      </c>
      <c r="K37" s="53">
        <f t="shared" si="14"/>
        <v>0</v>
      </c>
      <c r="L37" s="53">
        <f t="shared" si="14"/>
        <v>0</v>
      </c>
      <c r="M37" s="53">
        <f t="shared" si="14"/>
        <v>0</v>
      </c>
      <c r="N37" s="53">
        <f t="shared" si="14"/>
        <v>0</v>
      </c>
      <c r="O37" s="53">
        <f t="shared" si="14"/>
        <v>0</v>
      </c>
      <c r="P37" s="53">
        <f t="shared" si="14"/>
        <v>0</v>
      </c>
      <c r="Q37" s="53">
        <f t="shared" si="14"/>
        <v>0</v>
      </c>
      <c r="R37" s="53">
        <f t="shared" si="14"/>
        <v>0</v>
      </c>
      <c r="S37" s="53">
        <f t="shared" si="14"/>
        <v>0</v>
      </c>
      <c r="T37" s="53">
        <f t="shared" si="14"/>
        <v>136.43438145432202</v>
      </c>
      <c r="U37" s="53">
        <f t="shared" si="14"/>
        <v>0</v>
      </c>
      <c r="V37" s="53">
        <f t="shared" si="14"/>
        <v>0</v>
      </c>
      <c r="W37" s="53">
        <f t="shared" si="14"/>
        <v>0</v>
      </c>
      <c r="X37" s="53">
        <f t="shared" si="14"/>
        <v>0</v>
      </c>
      <c r="Y37" s="53">
        <f t="shared" si="14"/>
        <v>0</v>
      </c>
      <c r="Z37" s="53">
        <f t="shared" si="14"/>
        <v>0</v>
      </c>
      <c r="AA37" s="53">
        <f t="shared" si="14"/>
        <v>0</v>
      </c>
      <c r="AB37" s="53">
        <f t="shared" si="14"/>
        <v>0</v>
      </c>
      <c r="AC37" s="53">
        <f t="shared" si="14"/>
        <v>0</v>
      </c>
      <c r="AD37" s="53">
        <f t="shared" si="14"/>
        <v>0</v>
      </c>
      <c r="AE37" s="53">
        <f t="shared" si="14"/>
        <v>0</v>
      </c>
      <c r="AF37" s="53">
        <f t="shared" si="14"/>
        <v>0</v>
      </c>
      <c r="AG37" s="53">
        <f t="shared" si="14"/>
        <v>0</v>
      </c>
      <c r="AH37" s="53">
        <f t="shared" si="14"/>
        <v>0</v>
      </c>
      <c r="AI37" s="53">
        <f t="shared" si="14"/>
        <v>0</v>
      </c>
      <c r="AJ37" s="53">
        <f t="shared" ref="AJ37:BO37" si="15">Opening_year_without_scheme_NOx_emissions*Opening_year_mask</f>
        <v>0</v>
      </c>
      <c r="AK37" s="53">
        <f t="shared" si="15"/>
        <v>0</v>
      </c>
      <c r="AL37" s="53">
        <f t="shared" si="15"/>
        <v>0</v>
      </c>
      <c r="AM37" s="53">
        <f t="shared" si="15"/>
        <v>0</v>
      </c>
      <c r="AN37" s="53">
        <f t="shared" si="15"/>
        <v>0</v>
      </c>
      <c r="AO37" s="53">
        <f t="shared" si="15"/>
        <v>0</v>
      </c>
      <c r="AP37" s="53">
        <f t="shared" si="15"/>
        <v>0</v>
      </c>
      <c r="AQ37" s="53">
        <f t="shared" si="15"/>
        <v>0</v>
      </c>
      <c r="AR37" s="53">
        <f t="shared" si="15"/>
        <v>0</v>
      </c>
      <c r="AS37" s="53">
        <f t="shared" si="15"/>
        <v>0</v>
      </c>
      <c r="AT37" s="53">
        <f t="shared" si="15"/>
        <v>0</v>
      </c>
      <c r="AU37" s="53">
        <f t="shared" si="15"/>
        <v>0</v>
      </c>
      <c r="AV37" s="53">
        <f t="shared" si="15"/>
        <v>0</v>
      </c>
      <c r="AW37" s="53">
        <f t="shared" si="15"/>
        <v>0</v>
      </c>
      <c r="AX37" s="53">
        <f t="shared" si="15"/>
        <v>0</v>
      </c>
      <c r="AY37" s="53">
        <f t="shared" si="15"/>
        <v>0</v>
      </c>
      <c r="AZ37" s="53">
        <f t="shared" si="15"/>
        <v>0</v>
      </c>
      <c r="BA37" s="53">
        <f t="shared" si="15"/>
        <v>0</v>
      </c>
      <c r="BB37" s="53">
        <f t="shared" si="15"/>
        <v>0</v>
      </c>
      <c r="BC37" s="53">
        <f t="shared" si="15"/>
        <v>0</v>
      </c>
      <c r="BD37" s="53">
        <f t="shared" si="15"/>
        <v>0</v>
      </c>
      <c r="BE37" s="53">
        <f t="shared" si="15"/>
        <v>0</v>
      </c>
      <c r="BF37" s="53">
        <f t="shared" si="15"/>
        <v>0</v>
      </c>
      <c r="BG37" s="53">
        <f t="shared" si="15"/>
        <v>0</v>
      </c>
      <c r="BH37" s="53">
        <f t="shared" si="15"/>
        <v>0</v>
      </c>
      <c r="BI37" s="53">
        <f t="shared" si="15"/>
        <v>0</v>
      </c>
      <c r="BJ37" s="53">
        <f t="shared" si="15"/>
        <v>0</v>
      </c>
      <c r="BK37" s="53">
        <f t="shared" si="15"/>
        <v>0</v>
      </c>
      <c r="BL37" s="53">
        <f t="shared" si="15"/>
        <v>0</v>
      </c>
      <c r="BM37" s="53">
        <f t="shared" si="15"/>
        <v>0</v>
      </c>
      <c r="BN37" s="53">
        <f t="shared" si="15"/>
        <v>0</v>
      </c>
      <c r="BO37" s="53">
        <f t="shared" si="15"/>
        <v>0</v>
      </c>
      <c r="BP37" s="53">
        <f t="shared" ref="BP37:CP37" si="16">Opening_year_without_scheme_NOx_emissions*Opening_year_mask</f>
        <v>0</v>
      </c>
      <c r="BQ37" s="53">
        <f t="shared" si="16"/>
        <v>0</v>
      </c>
      <c r="BR37" s="53">
        <f t="shared" si="16"/>
        <v>0</v>
      </c>
      <c r="BS37" s="53">
        <f t="shared" si="16"/>
        <v>0</v>
      </c>
      <c r="BT37" s="53">
        <f t="shared" si="16"/>
        <v>0</v>
      </c>
      <c r="BU37" s="53">
        <f t="shared" si="16"/>
        <v>0</v>
      </c>
      <c r="BV37" s="53">
        <f t="shared" si="16"/>
        <v>0</v>
      </c>
      <c r="BW37" s="53">
        <f t="shared" si="16"/>
        <v>0</v>
      </c>
      <c r="BX37" s="53">
        <f t="shared" si="16"/>
        <v>0</v>
      </c>
      <c r="BY37" s="53">
        <f t="shared" si="16"/>
        <v>0</v>
      </c>
      <c r="BZ37" s="53">
        <f t="shared" si="16"/>
        <v>0</v>
      </c>
      <c r="CA37" s="53">
        <f t="shared" si="16"/>
        <v>0</v>
      </c>
      <c r="CB37" s="53">
        <f t="shared" si="16"/>
        <v>0</v>
      </c>
      <c r="CC37" s="53">
        <f t="shared" si="16"/>
        <v>0</v>
      </c>
      <c r="CD37" s="53">
        <f t="shared" si="16"/>
        <v>0</v>
      </c>
      <c r="CE37" s="53">
        <f t="shared" si="16"/>
        <v>0</v>
      </c>
      <c r="CF37" s="53">
        <f t="shared" si="16"/>
        <v>0</v>
      </c>
      <c r="CG37" s="53">
        <f t="shared" si="16"/>
        <v>0</v>
      </c>
      <c r="CH37" s="53">
        <f t="shared" si="16"/>
        <v>0</v>
      </c>
      <c r="CI37" s="53">
        <f t="shared" si="16"/>
        <v>0</v>
      </c>
      <c r="CJ37" s="53">
        <f t="shared" si="16"/>
        <v>0</v>
      </c>
      <c r="CK37" s="53">
        <f t="shared" si="16"/>
        <v>0</v>
      </c>
      <c r="CL37" s="53">
        <f t="shared" si="16"/>
        <v>0</v>
      </c>
      <c r="CM37" s="53">
        <f t="shared" si="16"/>
        <v>0</v>
      </c>
      <c r="CN37" s="53">
        <f t="shared" si="16"/>
        <v>0</v>
      </c>
      <c r="CO37" s="53">
        <f t="shared" si="16"/>
        <v>0</v>
      </c>
      <c r="CP37" s="53">
        <f t="shared" si="16"/>
        <v>0</v>
      </c>
      <c r="CQ37" s="52" t="s">
        <v>221</v>
      </c>
    </row>
    <row r="38" spans="1:95" outlineLevel="1" x14ac:dyDescent="0.25">
      <c r="B38" t="s">
        <v>75</v>
      </c>
      <c r="D38" s="53">
        <f t="shared" ref="D38:AI38" si="17">Forecast_year_without_scheme_NOx_emissions*Forecast_year_mask</f>
        <v>0</v>
      </c>
      <c r="E38" s="53">
        <f t="shared" si="17"/>
        <v>0</v>
      </c>
      <c r="F38" s="53">
        <f t="shared" si="17"/>
        <v>0</v>
      </c>
      <c r="G38" s="53">
        <f t="shared" si="17"/>
        <v>0</v>
      </c>
      <c r="H38" s="53">
        <f t="shared" si="17"/>
        <v>0</v>
      </c>
      <c r="I38" s="53">
        <f t="shared" si="17"/>
        <v>0</v>
      </c>
      <c r="J38" s="53">
        <f t="shared" si="17"/>
        <v>0</v>
      </c>
      <c r="K38" s="53">
        <f t="shared" si="17"/>
        <v>0</v>
      </c>
      <c r="L38" s="53">
        <f t="shared" si="17"/>
        <v>0</v>
      </c>
      <c r="M38" s="53">
        <f t="shared" si="17"/>
        <v>0</v>
      </c>
      <c r="N38" s="53">
        <f t="shared" si="17"/>
        <v>0</v>
      </c>
      <c r="O38" s="53">
        <f t="shared" si="17"/>
        <v>0</v>
      </c>
      <c r="P38" s="53">
        <f t="shared" si="17"/>
        <v>0</v>
      </c>
      <c r="Q38" s="53">
        <f t="shared" si="17"/>
        <v>0</v>
      </c>
      <c r="R38" s="53">
        <f t="shared" si="17"/>
        <v>0</v>
      </c>
      <c r="S38" s="53">
        <f t="shared" si="17"/>
        <v>0</v>
      </c>
      <c r="T38" s="53">
        <f t="shared" si="17"/>
        <v>0</v>
      </c>
      <c r="U38" s="53">
        <f t="shared" si="17"/>
        <v>0</v>
      </c>
      <c r="V38" s="53">
        <f t="shared" si="17"/>
        <v>0</v>
      </c>
      <c r="W38" s="53">
        <f t="shared" si="17"/>
        <v>0</v>
      </c>
      <c r="X38" s="53">
        <f t="shared" si="17"/>
        <v>0</v>
      </c>
      <c r="Y38" s="53">
        <f t="shared" si="17"/>
        <v>0</v>
      </c>
      <c r="Z38" s="53">
        <f t="shared" si="17"/>
        <v>0</v>
      </c>
      <c r="AA38" s="53">
        <f t="shared" si="17"/>
        <v>0</v>
      </c>
      <c r="AB38" s="53">
        <f t="shared" si="17"/>
        <v>0</v>
      </c>
      <c r="AC38" s="53">
        <f t="shared" si="17"/>
        <v>0</v>
      </c>
      <c r="AD38" s="53">
        <f t="shared" si="17"/>
        <v>129.99034692001342</v>
      </c>
      <c r="AE38" s="53">
        <f t="shared" si="17"/>
        <v>0</v>
      </c>
      <c r="AF38" s="53">
        <f t="shared" si="17"/>
        <v>0</v>
      </c>
      <c r="AG38" s="53">
        <f t="shared" si="17"/>
        <v>0</v>
      </c>
      <c r="AH38" s="53">
        <f t="shared" si="17"/>
        <v>0</v>
      </c>
      <c r="AI38" s="53">
        <f t="shared" si="17"/>
        <v>0</v>
      </c>
      <c r="AJ38" s="53">
        <f t="shared" ref="AJ38:BO38" si="18">Forecast_year_without_scheme_NOx_emissions*Forecast_year_mask</f>
        <v>0</v>
      </c>
      <c r="AK38" s="53">
        <f t="shared" si="18"/>
        <v>0</v>
      </c>
      <c r="AL38" s="53">
        <f t="shared" si="18"/>
        <v>0</v>
      </c>
      <c r="AM38" s="53">
        <f t="shared" si="18"/>
        <v>0</v>
      </c>
      <c r="AN38" s="53">
        <f t="shared" si="18"/>
        <v>0</v>
      </c>
      <c r="AO38" s="53">
        <f t="shared" si="18"/>
        <v>0</v>
      </c>
      <c r="AP38" s="53">
        <f t="shared" si="18"/>
        <v>0</v>
      </c>
      <c r="AQ38" s="53">
        <f t="shared" si="18"/>
        <v>0</v>
      </c>
      <c r="AR38" s="53">
        <f t="shared" si="18"/>
        <v>0</v>
      </c>
      <c r="AS38" s="53">
        <f t="shared" si="18"/>
        <v>0</v>
      </c>
      <c r="AT38" s="53">
        <f t="shared" si="18"/>
        <v>0</v>
      </c>
      <c r="AU38" s="53">
        <f t="shared" si="18"/>
        <v>0</v>
      </c>
      <c r="AV38" s="53">
        <f t="shared" si="18"/>
        <v>0</v>
      </c>
      <c r="AW38" s="53">
        <f t="shared" si="18"/>
        <v>0</v>
      </c>
      <c r="AX38" s="53">
        <f t="shared" si="18"/>
        <v>0</v>
      </c>
      <c r="AY38" s="53">
        <f t="shared" si="18"/>
        <v>0</v>
      </c>
      <c r="AZ38" s="53">
        <f t="shared" si="18"/>
        <v>0</v>
      </c>
      <c r="BA38" s="53">
        <f t="shared" si="18"/>
        <v>0</v>
      </c>
      <c r="BB38" s="53">
        <f t="shared" si="18"/>
        <v>0</v>
      </c>
      <c r="BC38" s="53">
        <f t="shared" si="18"/>
        <v>0</v>
      </c>
      <c r="BD38" s="53">
        <f t="shared" si="18"/>
        <v>0</v>
      </c>
      <c r="BE38" s="53">
        <f t="shared" si="18"/>
        <v>0</v>
      </c>
      <c r="BF38" s="53">
        <f t="shared" si="18"/>
        <v>0</v>
      </c>
      <c r="BG38" s="53">
        <f t="shared" si="18"/>
        <v>0</v>
      </c>
      <c r="BH38" s="53">
        <f t="shared" si="18"/>
        <v>0</v>
      </c>
      <c r="BI38" s="53">
        <f t="shared" si="18"/>
        <v>0</v>
      </c>
      <c r="BJ38" s="53">
        <f t="shared" si="18"/>
        <v>0</v>
      </c>
      <c r="BK38" s="53">
        <f t="shared" si="18"/>
        <v>0</v>
      </c>
      <c r="BL38" s="53">
        <f t="shared" si="18"/>
        <v>0</v>
      </c>
      <c r="BM38" s="53">
        <f t="shared" si="18"/>
        <v>0</v>
      </c>
      <c r="BN38" s="53">
        <f t="shared" si="18"/>
        <v>0</v>
      </c>
      <c r="BO38" s="53">
        <f t="shared" si="18"/>
        <v>0</v>
      </c>
      <c r="BP38" s="53">
        <f t="shared" ref="BP38:CP38" si="19">Forecast_year_without_scheme_NOx_emissions*Forecast_year_mask</f>
        <v>0</v>
      </c>
      <c r="BQ38" s="53">
        <f t="shared" si="19"/>
        <v>0</v>
      </c>
      <c r="BR38" s="53">
        <f t="shared" si="19"/>
        <v>0</v>
      </c>
      <c r="BS38" s="53">
        <f t="shared" si="19"/>
        <v>0</v>
      </c>
      <c r="BT38" s="53">
        <f t="shared" si="19"/>
        <v>0</v>
      </c>
      <c r="BU38" s="53">
        <f t="shared" si="19"/>
        <v>0</v>
      </c>
      <c r="BV38" s="53">
        <f t="shared" si="19"/>
        <v>0</v>
      </c>
      <c r="BW38" s="53">
        <f t="shared" si="19"/>
        <v>0</v>
      </c>
      <c r="BX38" s="53">
        <f t="shared" si="19"/>
        <v>0</v>
      </c>
      <c r="BY38" s="53">
        <f t="shared" si="19"/>
        <v>0</v>
      </c>
      <c r="BZ38" s="53">
        <f t="shared" si="19"/>
        <v>0</v>
      </c>
      <c r="CA38" s="53">
        <f t="shared" si="19"/>
        <v>0</v>
      </c>
      <c r="CB38" s="53">
        <f t="shared" si="19"/>
        <v>0</v>
      </c>
      <c r="CC38" s="53">
        <f t="shared" si="19"/>
        <v>0</v>
      </c>
      <c r="CD38" s="53">
        <f t="shared" si="19"/>
        <v>0</v>
      </c>
      <c r="CE38" s="53">
        <f t="shared" si="19"/>
        <v>0</v>
      </c>
      <c r="CF38" s="53">
        <f t="shared" si="19"/>
        <v>0</v>
      </c>
      <c r="CG38" s="53">
        <f t="shared" si="19"/>
        <v>0</v>
      </c>
      <c r="CH38" s="53">
        <f t="shared" si="19"/>
        <v>0</v>
      </c>
      <c r="CI38" s="53">
        <f t="shared" si="19"/>
        <v>0</v>
      </c>
      <c r="CJ38" s="53">
        <f t="shared" si="19"/>
        <v>0</v>
      </c>
      <c r="CK38" s="53">
        <f t="shared" si="19"/>
        <v>0</v>
      </c>
      <c r="CL38" s="53">
        <f t="shared" si="19"/>
        <v>0</v>
      </c>
      <c r="CM38" s="53">
        <f t="shared" si="19"/>
        <v>0</v>
      </c>
      <c r="CN38" s="53">
        <f t="shared" si="19"/>
        <v>0</v>
      </c>
      <c r="CO38" s="53">
        <f t="shared" si="19"/>
        <v>0</v>
      </c>
      <c r="CP38" s="53">
        <f t="shared" si="19"/>
        <v>0</v>
      </c>
      <c r="CQ38" s="52" t="s">
        <v>222</v>
      </c>
    </row>
    <row r="39" spans="1:95" outlineLevel="1" x14ac:dyDescent="0.25">
      <c r="B39" t="s">
        <v>84</v>
      </c>
      <c r="D39" s="53">
        <f>(Opening_year_without_scheme_NOx_emissions+(Difference_without_scheme_NOx_emissions)*(year-Opening_year)/(Interpolation_period_length))*Interpolation_mask</f>
        <v>0</v>
      </c>
      <c r="E39" s="53">
        <f t="shared" ref="E39:AI39" si="20">(Opening_year_without_scheme_NOx_emissions+(Difference_without_scheme_NOx_emissions)*(year-Opening_year)/(Interpolation_period_length))*Interpolation_mask</f>
        <v>0</v>
      </c>
      <c r="F39" s="53">
        <f t="shared" si="20"/>
        <v>0</v>
      </c>
      <c r="G39" s="53">
        <f t="shared" si="20"/>
        <v>0</v>
      </c>
      <c r="H39" s="53">
        <f t="shared" si="20"/>
        <v>0</v>
      </c>
      <c r="I39" s="53">
        <f t="shared" si="20"/>
        <v>0</v>
      </c>
      <c r="J39" s="53">
        <f t="shared" si="20"/>
        <v>0</v>
      </c>
      <c r="K39" s="53">
        <f t="shared" si="20"/>
        <v>0</v>
      </c>
      <c r="L39" s="53">
        <f t="shared" si="20"/>
        <v>0</v>
      </c>
      <c r="M39" s="53">
        <f t="shared" si="20"/>
        <v>0</v>
      </c>
      <c r="N39" s="53">
        <f t="shared" si="20"/>
        <v>0</v>
      </c>
      <c r="O39" s="53">
        <f t="shared" si="20"/>
        <v>0</v>
      </c>
      <c r="P39" s="53">
        <f t="shared" si="20"/>
        <v>0</v>
      </c>
      <c r="Q39" s="53">
        <f t="shared" si="20"/>
        <v>0</v>
      </c>
      <c r="R39" s="53">
        <f t="shared" si="20"/>
        <v>0</v>
      </c>
      <c r="S39" s="53">
        <f t="shared" si="20"/>
        <v>0</v>
      </c>
      <c r="T39" s="53">
        <f t="shared" si="20"/>
        <v>0</v>
      </c>
      <c r="U39" s="53">
        <f t="shared" si="20"/>
        <v>135.78997800089115</v>
      </c>
      <c r="V39" s="53">
        <f t="shared" si="20"/>
        <v>135.14557454746031</v>
      </c>
      <c r="W39" s="53">
        <f t="shared" si="20"/>
        <v>134.50117109402944</v>
      </c>
      <c r="X39" s="53">
        <f t="shared" si="20"/>
        <v>133.85676764059858</v>
      </c>
      <c r="Y39" s="53">
        <f t="shared" si="20"/>
        <v>133.21236418716774</v>
      </c>
      <c r="Z39" s="53">
        <f t="shared" si="20"/>
        <v>132.56796073373687</v>
      </c>
      <c r="AA39" s="53">
        <f t="shared" si="20"/>
        <v>131.923557280306</v>
      </c>
      <c r="AB39" s="53">
        <f t="shared" si="20"/>
        <v>131.27915382687513</v>
      </c>
      <c r="AC39" s="53">
        <f t="shared" si="20"/>
        <v>130.63475037344429</v>
      </c>
      <c r="AD39" s="53">
        <f t="shared" si="20"/>
        <v>0</v>
      </c>
      <c r="AE39" s="53">
        <f t="shared" si="20"/>
        <v>0</v>
      </c>
      <c r="AF39" s="53">
        <f t="shared" si="20"/>
        <v>0</v>
      </c>
      <c r="AG39" s="53">
        <f t="shared" si="20"/>
        <v>0</v>
      </c>
      <c r="AH39" s="53">
        <f t="shared" si="20"/>
        <v>0</v>
      </c>
      <c r="AI39" s="53">
        <f t="shared" si="20"/>
        <v>0</v>
      </c>
      <c r="AJ39" s="53">
        <f t="shared" ref="AJ39:BO39" si="21">(Opening_year_without_scheme_NOx_emissions+(Difference_without_scheme_NOx_emissions)*(year-Opening_year)/(Interpolation_period_length))*Interpolation_mask</f>
        <v>0</v>
      </c>
      <c r="AK39" s="53">
        <f t="shared" si="21"/>
        <v>0</v>
      </c>
      <c r="AL39" s="53">
        <f t="shared" si="21"/>
        <v>0</v>
      </c>
      <c r="AM39" s="53">
        <f t="shared" si="21"/>
        <v>0</v>
      </c>
      <c r="AN39" s="53">
        <f t="shared" si="21"/>
        <v>0</v>
      </c>
      <c r="AO39" s="53">
        <f t="shared" si="21"/>
        <v>0</v>
      </c>
      <c r="AP39" s="53">
        <f t="shared" si="21"/>
        <v>0</v>
      </c>
      <c r="AQ39" s="53">
        <f t="shared" si="21"/>
        <v>0</v>
      </c>
      <c r="AR39" s="53">
        <f t="shared" si="21"/>
        <v>0</v>
      </c>
      <c r="AS39" s="53">
        <f t="shared" si="21"/>
        <v>0</v>
      </c>
      <c r="AT39" s="53">
        <f t="shared" si="21"/>
        <v>0</v>
      </c>
      <c r="AU39" s="53">
        <f t="shared" si="21"/>
        <v>0</v>
      </c>
      <c r="AV39" s="53">
        <f t="shared" si="21"/>
        <v>0</v>
      </c>
      <c r="AW39" s="53">
        <f t="shared" si="21"/>
        <v>0</v>
      </c>
      <c r="AX39" s="53">
        <f t="shared" si="21"/>
        <v>0</v>
      </c>
      <c r="AY39" s="53">
        <f t="shared" si="21"/>
        <v>0</v>
      </c>
      <c r="AZ39" s="53">
        <f t="shared" si="21"/>
        <v>0</v>
      </c>
      <c r="BA39" s="53">
        <f t="shared" si="21"/>
        <v>0</v>
      </c>
      <c r="BB39" s="53">
        <f t="shared" si="21"/>
        <v>0</v>
      </c>
      <c r="BC39" s="53">
        <f t="shared" si="21"/>
        <v>0</v>
      </c>
      <c r="BD39" s="53">
        <f t="shared" si="21"/>
        <v>0</v>
      </c>
      <c r="BE39" s="53">
        <f t="shared" si="21"/>
        <v>0</v>
      </c>
      <c r="BF39" s="53">
        <f t="shared" si="21"/>
        <v>0</v>
      </c>
      <c r="BG39" s="53">
        <f t="shared" si="21"/>
        <v>0</v>
      </c>
      <c r="BH39" s="53">
        <f t="shared" si="21"/>
        <v>0</v>
      </c>
      <c r="BI39" s="53">
        <f t="shared" si="21"/>
        <v>0</v>
      </c>
      <c r="BJ39" s="53">
        <f t="shared" si="21"/>
        <v>0</v>
      </c>
      <c r="BK39" s="53">
        <f t="shared" si="21"/>
        <v>0</v>
      </c>
      <c r="BL39" s="53">
        <f t="shared" si="21"/>
        <v>0</v>
      </c>
      <c r="BM39" s="53">
        <f t="shared" si="21"/>
        <v>0</v>
      </c>
      <c r="BN39" s="53">
        <f t="shared" si="21"/>
        <v>0</v>
      </c>
      <c r="BO39" s="53">
        <f t="shared" si="21"/>
        <v>0</v>
      </c>
      <c r="BP39" s="53">
        <f t="shared" ref="BP39:CP39" si="22">(Opening_year_without_scheme_NOx_emissions+(Difference_without_scheme_NOx_emissions)*(year-Opening_year)/(Interpolation_period_length))*Interpolation_mask</f>
        <v>0</v>
      </c>
      <c r="BQ39" s="53">
        <f t="shared" si="22"/>
        <v>0</v>
      </c>
      <c r="BR39" s="53">
        <f t="shared" si="22"/>
        <v>0</v>
      </c>
      <c r="BS39" s="53">
        <f t="shared" si="22"/>
        <v>0</v>
      </c>
      <c r="BT39" s="53">
        <f t="shared" si="22"/>
        <v>0</v>
      </c>
      <c r="BU39" s="53">
        <f t="shared" si="22"/>
        <v>0</v>
      </c>
      <c r="BV39" s="53">
        <f t="shared" si="22"/>
        <v>0</v>
      </c>
      <c r="BW39" s="53">
        <f t="shared" si="22"/>
        <v>0</v>
      </c>
      <c r="BX39" s="53">
        <f t="shared" si="22"/>
        <v>0</v>
      </c>
      <c r="BY39" s="53">
        <f t="shared" si="22"/>
        <v>0</v>
      </c>
      <c r="BZ39" s="53">
        <f t="shared" si="22"/>
        <v>0</v>
      </c>
      <c r="CA39" s="53">
        <f t="shared" si="22"/>
        <v>0</v>
      </c>
      <c r="CB39" s="53">
        <f t="shared" si="22"/>
        <v>0</v>
      </c>
      <c r="CC39" s="53">
        <f t="shared" si="22"/>
        <v>0</v>
      </c>
      <c r="CD39" s="53">
        <f t="shared" si="22"/>
        <v>0</v>
      </c>
      <c r="CE39" s="53">
        <f t="shared" si="22"/>
        <v>0</v>
      </c>
      <c r="CF39" s="53">
        <f t="shared" si="22"/>
        <v>0</v>
      </c>
      <c r="CG39" s="53">
        <f t="shared" si="22"/>
        <v>0</v>
      </c>
      <c r="CH39" s="53">
        <f t="shared" si="22"/>
        <v>0</v>
      </c>
      <c r="CI39" s="53">
        <f t="shared" si="22"/>
        <v>0</v>
      </c>
      <c r="CJ39" s="53">
        <f t="shared" si="22"/>
        <v>0</v>
      </c>
      <c r="CK39" s="53">
        <f t="shared" si="22"/>
        <v>0</v>
      </c>
      <c r="CL39" s="53">
        <f t="shared" si="22"/>
        <v>0</v>
      </c>
      <c r="CM39" s="53">
        <f t="shared" si="22"/>
        <v>0</v>
      </c>
      <c r="CN39" s="53">
        <f t="shared" si="22"/>
        <v>0</v>
      </c>
      <c r="CO39" s="53">
        <f t="shared" si="22"/>
        <v>0</v>
      </c>
      <c r="CP39" s="53">
        <f t="shared" si="22"/>
        <v>0</v>
      </c>
      <c r="CQ39" s="52" t="s">
        <v>223</v>
      </c>
    </row>
    <row r="40" spans="1:95" outlineLevel="1" x14ac:dyDescent="0.25">
      <c r="B40" t="s">
        <v>115</v>
      </c>
      <c r="D40" s="53">
        <f t="shared" ref="D40:AI40" si="23">Forecast_year_without_scheme_NOx_emissions*Extrapolation_mask</f>
        <v>0</v>
      </c>
      <c r="E40" s="53">
        <f t="shared" si="23"/>
        <v>0</v>
      </c>
      <c r="F40" s="53">
        <f t="shared" si="23"/>
        <v>0</v>
      </c>
      <c r="G40" s="53">
        <f t="shared" si="23"/>
        <v>0</v>
      </c>
      <c r="H40" s="53">
        <f t="shared" si="23"/>
        <v>0</v>
      </c>
      <c r="I40" s="53">
        <f t="shared" si="23"/>
        <v>0</v>
      </c>
      <c r="J40" s="53">
        <f t="shared" si="23"/>
        <v>0</v>
      </c>
      <c r="K40" s="53">
        <f t="shared" si="23"/>
        <v>0</v>
      </c>
      <c r="L40" s="53">
        <f t="shared" si="23"/>
        <v>0</v>
      </c>
      <c r="M40" s="53">
        <f t="shared" si="23"/>
        <v>0</v>
      </c>
      <c r="N40" s="53">
        <f t="shared" si="23"/>
        <v>0</v>
      </c>
      <c r="O40" s="53">
        <f t="shared" si="23"/>
        <v>0</v>
      </c>
      <c r="P40" s="53">
        <f t="shared" si="23"/>
        <v>0</v>
      </c>
      <c r="Q40" s="53">
        <f t="shared" si="23"/>
        <v>0</v>
      </c>
      <c r="R40" s="53">
        <f t="shared" si="23"/>
        <v>0</v>
      </c>
      <c r="S40" s="53">
        <f t="shared" si="23"/>
        <v>0</v>
      </c>
      <c r="T40" s="53">
        <f t="shared" si="23"/>
        <v>0</v>
      </c>
      <c r="U40" s="53">
        <f t="shared" si="23"/>
        <v>0</v>
      </c>
      <c r="V40" s="53">
        <f t="shared" si="23"/>
        <v>0</v>
      </c>
      <c r="W40" s="53">
        <f t="shared" si="23"/>
        <v>0</v>
      </c>
      <c r="X40" s="53">
        <f t="shared" si="23"/>
        <v>0</v>
      </c>
      <c r="Y40" s="53">
        <f t="shared" si="23"/>
        <v>0</v>
      </c>
      <c r="Z40" s="53">
        <f t="shared" si="23"/>
        <v>0</v>
      </c>
      <c r="AA40" s="53">
        <f t="shared" si="23"/>
        <v>0</v>
      </c>
      <c r="AB40" s="53">
        <f t="shared" si="23"/>
        <v>0</v>
      </c>
      <c r="AC40" s="53">
        <f t="shared" si="23"/>
        <v>0</v>
      </c>
      <c r="AD40" s="53">
        <f t="shared" si="23"/>
        <v>0</v>
      </c>
      <c r="AE40" s="53">
        <f t="shared" si="23"/>
        <v>129.99034692001342</v>
      </c>
      <c r="AF40" s="53">
        <f t="shared" si="23"/>
        <v>129.99034692001342</v>
      </c>
      <c r="AG40" s="53">
        <f t="shared" si="23"/>
        <v>129.99034692001342</v>
      </c>
      <c r="AH40" s="53">
        <f t="shared" si="23"/>
        <v>129.99034692001342</v>
      </c>
      <c r="AI40" s="53">
        <f t="shared" si="23"/>
        <v>129.99034692001342</v>
      </c>
      <c r="AJ40" s="53">
        <f t="shared" ref="AJ40:BO40" si="24">Forecast_year_without_scheme_NOx_emissions*Extrapolation_mask</f>
        <v>129.99034692001342</v>
      </c>
      <c r="AK40" s="53">
        <f t="shared" si="24"/>
        <v>129.99034692001342</v>
      </c>
      <c r="AL40" s="53">
        <f t="shared" si="24"/>
        <v>129.99034692001342</v>
      </c>
      <c r="AM40" s="53">
        <f t="shared" si="24"/>
        <v>129.99034692001342</v>
      </c>
      <c r="AN40" s="53">
        <f t="shared" si="24"/>
        <v>129.99034692001342</v>
      </c>
      <c r="AO40" s="53">
        <f t="shared" si="24"/>
        <v>129.99034692001342</v>
      </c>
      <c r="AP40" s="53">
        <f t="shared" si="24"/>
        <v>129.99034692001342</v>
      </c>
      <c r="AQ40" s="53">
        <f t="shared" si="24"/>
        <v>129.99034692001342</v>
      </c>
      <c r="AR40" s="53">
        <f t="shared" si="24"/>
        <v>129.99034692001342</v>
      </c>
      <c r="AS40" s="53">
        <f t="shared" si="24"/>
        <v>129.99034692001342</v>
      </c>
      <c r="AT40" s="53">
        <f t="shared" si="24"/>
        <v>129.99034692001342</v>
      </c>
      <c r="AU40" s="53">
        <f t="shared" si="24"/>
        <v>129.99034692001342</v>
      </c>
      <c r="AV40" s="53">
        <f t="shared" si="24"/>
        <v>129.99034692001342</v>
      </c>
      <c r="AW40" s="53">
        <f t="shared" si="24"/>
        <v>129.99034692001342</v>
      </c>
      <c r="AX40" s="53">
        <f t="shared" si="24"/>
        <v>129.99034692001342</v>
      </c>
      <c r="AY40" s="53">
        <f t="shared" si="24"/>
        <v>129.99034692001342</v>
      </c>
      <c r="AZ40" s="53">
        <f t="shared" si="24"/>
        <v>129.99034692001342</v>
      </c>
      <c r="BA40" s="53">
        <f t="shared" si="24"/>
        <v>129.99034692001342</v>
      </c>
      <c r="BB40" s="53">
        <f t="shared" si="24"/>
        <v>129.99034692001342</v>
      </c>
      <c r="BC40" s="53">
        <f t="shared" si="24"/>
        <v>129.99034692001342</v>
      </c>
      <c r="BD40" s="53">
        <f t="shared" si="24"/>
        <v>129.99034692001342</v>
      </c>
      <c r="BE40" s="53">
        <f t="shared" si="24"/>
        <v>129.99034692001342</v>
      </c>
      <c r="BF40" s="53">
        <f t="shared" si="24"/>
        <v>129.99034692001342</v>
      </c>
      <c r="BG40" s="53">
        <f t="shared" si="24"/>
        <v>129.99034692001342</v>
      </c>
      <c r="BH40" s="53">
        <f t="shared" si="24"/>
        <v>129.99034692001342</v>
      </c>
      <c r="BI40" s="53">
        <f t="shared" si="24"/>
        <v>129.99034692001342</v>
      </c>
      <c r="BJ40" s="53">
        <f t="shared" si="24"/>
        <v>129.99034692001342</v>
      </c>
      <c r="BK40" s="53">
        <f t="shared" si="24"/>
        <v>129.99034692001342</v>
      </c>
      <c r="BL40" s="53">
        <f t="shared" si="24"/>
        <v>129.99034692001342</v>
      </c>
      <c r="BM40" s="53">
        <f t="shared" si="24"/>
        <v>129.99034692001342</v>
      </c>
      <c r="BN40" s="53">
        <f t="shared" si="24"/>
        <v>129.99034692001342</v>
      </c>
      <c r="BO40" s="53">
        <f t="shared" si="24"/>
        <v>129.99034692001342</v>
      </c>
      <c r="BP40" s="53">
        <f t="shared" ref="BP40:CP40" si="25">Forecast_year_without_scheme_NOx_emissions*Extrapolation_mask</f>
        <v>129.99034692001342</v>
      </c>
      <c r="BQ40" s="53">
        <f t="shared" si="25"/>
        <v>129.99034692001342</v>
      </c>
      <c r="BR40" s="53">
        <f t="shared" si="25"/>
        <v>129.99034692001342</v>
      </c>
      <c r="BS40" s="53">
        <f t="shared" si="25"/>
        <v>129.99034692001342</v>
      </c>
      <c r="BT40" s="53">
        <f t="shared" si="25"/>
        <v>129.99034692001342</v>
      </c>
      <c r="BU40" s="53">
        <f t="shared" si="25"/>
        <v>129.99034692001342</v>
      </c>
      <c r="BV40" s="53">
        <f t="shared" si="25"/>
        <v>129.99034692001342</v>
      </c>
      <c r="BW40" s="53">
        <f t="shared" si="25"/>
        <v>129.99034692001342</v>
      </c>
      <c r="BX40" s="53">
        <f t="shared" si="25"/>
        <v>129.99034692001342</v>
      </c>
      <c r="BY40" s="53">
        <f t="shared" si="25"/>
        <v>129.99034692001342</v>
      </c>
      <c r="BZ40" s="53">
        <f t="shared" si="25"/>
        <v>129.99034692001342</v>
      </c>
      <c r="CA40" s="53">
        <f t="shared" si="25"/>
        <v>129.99034692001342</v>
      </c>
      <c r="CB40" s="53">
        <f t="shared" si="25"/>
        <v>0</v>
      </c>
      <c r="CC40" s="53">
        <f t="shared" si="25"/>
        <v>0</v>
      </c>
      <c r="CD40" s="53">
        <f t="shared" si="25"/>
        <v>0</v>
      </c>
      <c r="CE40" s="53">
        <f t="shared" si="25"/>
        <v>0</v>
      </c>
      <c r="CF40" s="53">
        <f t="shared" si="25"/>
        <v>0</v>
      </c>
      <c r="CG40" s="53">
        <f t="shared" si="25"/>
        <v>0</v>
      </c>
      <c r="CH40" s="53">
        <f t="shared" si="25"/>
        <v>0</v>
      </c>
      <c r="CI40" s="53">
        <f t="shared" si="25"/>
        <v>0</v>
      </c>
      <c r="CJ40" s="53">
        <f t="shared" si="25"/>
        <v>0</v>
      </c>
      <c r="CK40" s="53">
        <f t="shared" si="25"/>
        <v>0</v>
      </c>
      <c r="CL40" s="53">
        <f t="shared" si="25"/>
        <v>0</v>
      </c>
      <c r="CM40" s="53">
        <f t="shared" si="25"/>
        <v>0</v>
      </c>
      <c r="CN40" s="53">
        <f t="shared" si="25"/>
        <v>0</v>
      </c>
      <c r="CO40" s="53">
        <f t="shared" si="25"/>
        <v>0</v>
      </c>
      <c r="CP40" s="53">
        <f t="shared" si="25"/>
        <v>0</v>
      </c>
      <c r="CQ40" s="52" t="s">
        <v>224</v>
      </c>
    </row>
    <row r="41" spans="1:95" outlineLevel="1" x14ac:dyDescent="0.25">
      <c r="B41" s="79" t="s">
        <v>200</v>
      </c>
      <c r="D41" s="53">
        <f t="shared" ref="D41:BO41" si="26">Opening_year_without_scheme_NOx_emissions_mask+Forecast_year_without_scheme_NOx_emissions_mask+Interpolation_without_scheme_NOx_emissions_mask+Extrapolation_without_scheme_NOx_emissions_mask</f>
        <v>0</v>
      </c>
      <c r="E41" s="53">
        <f t="shared" si="26"/>
        <v>0</v>
      </c>
      <c r="F41" s="53">
        <f t="shared" si="26"/>
        <v>0</v>
      </c>
      <c r="G41" s="53">
        <f t="shared" si="26"/>
        <v>0</v>
      </c>
      <c r="H41" s="53">
        <f t="shared" si="26"/>
        <v>0</v>
      </c>
      <c r="I41" s="53">
        <f t="shared" si="26"/>
        <v>0</v>
      </c>
      <c r="J41" s="53">
        <f t="shared" si="26"/>
        <v>0</v>
      </c>
      <c r="K41" s="53">
        <f t="shared" si="26"/>
        <v>0</v>
      </c>
      <c r="L41" s="53">
        <f t="shared" si="26"/>
        <v>0</v>
      </c>
      <c r="M41" s="53">
        <f>Opening_year_without_scheme_NOx_emissions_mask+Forecast_year_without_scheme_NOx_emissions_mask+Interpolation_without_scheme_NOx_emissions_mask+Extrapolation_without_scheme_NOx_emissions_mask</f>
        <v>0</v>
      </c>
      <c r="N41" s="53">
        <f t="shared" si="26"/>
        <v>0</v>
      </c>
      <c r="O41" s="53">
        <f t="shared" si="26"/>
        <v>0</v>
      </c>
      <c r="P41" s="53">
        <f t="shared" si="26"/>
        <v>0</v>
      </c>
      <c r="Q41" s="53">
        <f t="shared" si="26"/>
        <v>0</v>
      </c>
      <c r="R41" s="53">
        <f t="shared" si="26"/>
        <v>0</v>
      </c>
      <c r="S41" s="53">
        <f t="shared" si="26"/>
        <v>0</v>
      </c>
      <c r="T41" s="53">
        <f t="shared" si="26"/>
        <v>136.43438145432202</v>
      </c>
      <c r="U41" s="53">
        <f t="shared" si="26"/>
        <v>135.78997800089115</v>
      </c>
      <c r="V41" s="53">
        <f t="shared" si="26"/>
        <v>135.14557454746031</v>
      </c>
      <c r="W41" s="53">
        <f t="shared" si="26"/>
        <v>134.50117109402944</v>
      </c>
      <c r="X41" s="53">
        <f t="shared" si="26"/>
        <v>133.85676764059858</v>
      </c>
      <c r="Y41" s="53">
        <f t="shared" si="26"/>
        <v>133.21236418716774</v>
      </c>
      <c r="Z41" s="53">
        <f t="shared" si="26"/>
        <v>132.56796073373687</v>
      </c>
      <c r="AA41" s="53">
        <f t="shared" si="26"/>
        <v>131.923557280306</v>
      </c>
      <c r="AB41" s="53">
        <f t="shared" si="26"/>
        <v>131.27915382687513</v>
      </c>
      <c r="AC41" s="53">
        <f t="shared" si="26"/>
        <v>130.63475037344429</v>
      </c>
      <c r="AD41" s="53">
        <f t="shared" si="26"/>
        <v>129.99034692001342</v>
      </c>
      <c r="AE41" s="53">
        <f t="shared" si="26"/>
        <v>129.99034692001342</v>
      </c>
      <c r="AF41" s="53">
        <f t="shared" si="26"/>
        <v>129.99034692001342</v>
      </c>
      <c r="AG41" s="53">
        <f t="shared" si="26"/>
        <v>129.99034692001342</v>
      </c>
      <c r="AH41" s="53">
        <f t="shared" si="26"/>
        <v>129.99034692001342</v>
      </c>
      <c r="AI41" s="53">
        <f t="shared" si="26"/>
        <v>129.99034692001342</v>
      </c>
      <c r="AJ41" s="53">
        <f t="shared" si="26"/>
        <v>129.99034692001342</v>
      </c>
      <c r="AK41" s="53">
        <f t="shared" si="26"/>
        <v>129.99034692001342</v>
      </c>
      <c r="AL41" s="53">
        <f t="shared" si="26"/>
        <v>129.99034692001342</v>
      </c>
      <c r="AM41" s="53">
        <f t="shared" si="26"/>
        <v>129.99034692001342</v>
      </c>
      <c r="AN41" s="53">
        <f t="shared" si="26"/>
        <v>129.99034692001342</v>
      </c>
      <c r="AO41" s="53">
        <f t="shared" si="26"/>
        <v>129.99034692001342</v>
      </c>
      <c r="AP41" s="53">
        <f t="shared" si="26"/>
        <v>129.99034692001342</v>
      </c>
      <c r="AQ41" s="53">
        <f t="shared" si="26"/>
        <v>129.99034692001342</v>
      </c>
      <c r="AR41" s="53">
        <f t="shared" si="26"/>
        <v>129.99034692001342</v>
      </c>
      <c r="AS41" s="53">
        <f t="shared" si="26"/>
        <v>129.99034692001342</v>
      </c>
      <c r="AT41" s="53">
        <f t="shared" si="26"/>
        <v>129.99034692001342</v>
      </c>
      <c r="AU41" s="53">
        <f t="shared" si="26"/>
        <v>129.99034692001342</v>
      </c>
      <c r="AV41" s="53">
        <f t="shared" si="26"/>
        <v>129.99034692001342</v>
      </c>
      <c r="AW41" s="53">
        <f t="shared" si="26"/>
        <v>129.99034692001342</v>
      </c>
      <c r="AX41" s="53">
        <f t="shared" si="26"/>
        <v>129.99034692001342</v>
      </c>
      <c r="AY41" s="53">
        <f t="shared" si="26"/>
        <v>129.99034692001342</v>
      </c>
      <c r="AZ41" s="53">
        <f t="shared" si="26"/>
        <v>129.99034692001342</v>
      </c>
      <c r="BA41" s="53">
        <f t="shared" si="26"/>
        <v>129.99034692001342</v>
      </c>
      <c r="BB41" s="53">
        <f t="shared" si="26"/>
        <v>129.99034692001342</v>
      </c>
      <c r="BC41" s="53">
        <f t="shared" si="26"/>
        <v>129.99034692001342</v>
      </c>
      <c r="BD41" s="53">
        <f t="shared" si="26"/>
        <v>129.99034692001342</v>
      </c>
      <c r="BE41" s="53">
        <f t="shared" si="26"/>
        <v>129.99034692001342</v>
      </c>
      <c r="BF41" s="53">
        <f t="shared" si="26"/>
        <v>129.99034692001342</v>
      </c>
      <c r="BG41" s="53">
        <f t="shared" si="26"/>
        <v>129.99034692001342</v>
      </c>
      <c r="BH41" s="53">
        <f t="shared" si="26"/>
        <v>129.99034692001342</v>
      </c>
      <c r="BI41" s="53">
        <f t="shared" si="26"/>
        <v>129.99034692001342</v>
      </c>
      <c r="BJ41" s="53">
        <f t="shared" si="26"/>
        <v>129.99034692001342</v>
      </c>
      <c r="BK41" s="53">
        <f t="shared" si="26"/>
        <v>129.99034692001342</v>
      </c>
      <c r="BL41" s="53">
        <f t="shared" si="26"/>
        <v>129.99034692001342</v>
      </c>
      <c r="BM41" s="53">
        <f t="shared" si="26"/>
        <v>129.99034692001342</v>
      </c>
      <c r="BN41" s="53">
        <f t="shared" si="26"/>
        <v>129.99034692001342</v>
      </c>
      <c r="BO41" s="53">
        <f t="shared" si="26"/>
        <v>129.99034692001342</v>
      </c>
      <c r="BP41" s="53">
        <f t="shared" ref="BP41:CP41" si="27">Opening_year_without_scheme_NOx_emissions_mask+Forecast_year_without_scheme_NOx_emissions_mask+Interpolation_without_scheme_NOx_emissions_mask+Extrapolation_without_scheme_NOx_emissions_mask</f>
        <v>129.99034692001342</v>
      </c>
      <c r="BQ41" s="53">
        <f t="shared" si="27"/>
        <v>129.99034692001342</v>
      </c>
      <c r="BR41" s="53">
        <f t="shared" si="27"/>
        <v>129.99034692001342</v>
      </c>
      <c r="BS41" s="53">
        <f t="shared" si="27"/>
        <v>129.99034692001342</v>
      </c>
      <c r="BT41" s="53">
        <f t="shared" si="27"/>
        <v>129.99034692001342</v>
      </c>
      <c r="BU41" s="53">
        <f t="shared" si="27"/>
        <v>129.99034692001342</v>
      </c>
      <c r="BV41" s="53">
        <f t="shared" si="27"/>
        <v>129.99034692001342</v>
      </c>
      <c r="BW41" s="53">
        <f t="shared" si="27"/>
        <v>129.99034692001342</v>
      </c>
      <c r="BX41" s="53">
        <f t="shared" si="27"/>
        <v>129.99034692001342</v>
      </c>
      <c r="BY41" s="53">
        <f t="shared" si="27"/>
        <v>129.99034692001342</v>
      </c>
      <c r="BZ41" s="53">
        <f t="shared" si="27"/>
        <v>129.99034692001342</v>
      </c>
      <c r="CA41" s="53">
        <f t="shared" si="27"/>
        <v>129.99034692001342</v>
      </c>
      <c r="CB41" s="53">
        <f t="shared" si="27"/>
        <v>0</v>
      </c>
      <c r="CC41" s="53">
        <f t="shared" si="27"/>
        <v>0</v>
      </c>
      <c r="CD41" s="53">
        <f t="shared" si="27"/>
        <v>0</v>
      </c>
      <c r="CE41" s="53">
        <f t="shared" si="27"/>
        <v>0</v>
      </c>
      <c r="CF41" s="53">
        <f t="shared" si="27"/>
        <v>0</v>
      </c>
      <c r="CG41" s="53">
        <f t="shared" si="27"/>
        <v>0</v>
      </c>
      <c r="CH41" s="53">
        <f t="shared" si="27"/>
        <v>0</v>
      </c>
      <c r="CI41" s="53">
        <f t="shared" si="27"/>
        <v>0</v>
      </c>
      <c r="CJ41" s="53">
        <f t="shared" si="27"/>
        <v>0</v>
      </c>
      <c r="CK41" s="53">
        <f t="shared" si="27"/>
        <v>0</v>
      </c>
      <c r="CL41" s="53">
        <f t="shared" si="27"/>
        <v>0</v>
      </c>
      <c r="CM41" s="53">
        <f t="shared" si="27"/>
        <v>0</v>
      </c>
      <c r="CN41" s="53">
        <f t="shared" si="27"/>
        <v>0</v>
      </c>
      <c r="CO41" s="53">
        <f t="shared" si="27"/>
        <v>0</v>
      </c>
      <c r="CP41" s="53">
        <f t="shared" si="27"/>
        <v>0</v>
      </c>
      <c r="CQ41" s="52" t="s">
        <v>225</v>
      </c>
    </row>
    <row r="42" spans="1:95" outlineLevel="1" x14ac:dyDescent="0.25"/>
    <row r="43" spans="1:95" ht="15.75" outlineLevel="1" x14ac:dyDescent="0.25">
      <c r="A43" s="56"/>
      <c r="B43" s="56" t="s">
        <v>306</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row>
    <row r="44" spans="1:95" outlineLevel="1" x14ac:dyDescent="0.25"/>
    <row r="45" spans="1:95" ht="15.75" outlineLevel="1" x14ac:dyDescent="0.25">
      <c r="B45" s="77"/>
      <c r="C45" s="76">
        <f>Opening_year</f>
        <v>2026</v>
      </c>
    </row>
    <row r="46" spans="1:95" outlineLevel="1" x14ac:dyDescent="0.25">
      <c r="B46" s="142" t="s">
        <v>292</v>
      </c>
      <c r="C46" s="82">
        <f>Opening_year_with_scheme_NOx_emissions_in</f>
        <v>136.97176844772562</v>
      </c>
      <c r="D46" s="52" t="s">
        <v>81</v>
      </c>
    </row>
    <row r="47" spans="1:95" ht="15.75" outlineLevel="1" x14ac:dyDescent="0.25">
      <c r="B47" s="77"/>
      <c r="C47" s="77"/>
      <c r="D47" s="77"/>
    </row>
    <row r="48" spans="1:95" ht="15.75" outlineLevel="1" x14ac:dyDescent="0.25">
      <c r="B48" s="77"/>
      <c r="C48" s="76">
        <f>Forecast_year</f>
        <v>2036</v>
      </c>
    </row>
    <row r="49" spans="1:95" outlineLevel="1" x14ac:dyDescent="0.25">
      <c r="B49" s="142" t="s">
        <v>293</v>
      </c>
      <c r="C49" s="83">
        <f>Forecast_year_with_scheme_NOx_emissions_in</f>
        <v>131.55557736777939</v>
      </c>
      <c r="D49" s="52" t="s">
        <v>82</v>
      </c>
    </row>
    <row r="50" spans="1:95" ht="15.75" outlineLevel="1" x14ac:dyDescent="0.25">
      <c r="B50" s="77"/>
      <c r="C50" s="77"/>
      <c r="D50" s="77"/>
    </row>
    <row r="51" spans="1:95" outlineLevel="1" x14ac:dyDescent="0.25">
      <c r="B51" s="141" t="s">
        <v>92</v>
      </c>
      <c r="C51" s="144">
        <f>C49-C46</f>
        <v>-5.4161910799462305</v>
      </c>
      <c r="D51" s="143" t="s">
        <v>295</v>
      </c>
    </row>
    <row r="52" spans="1:95" outlineLevel="1" x14ac:dyDescent="0.25"/>
    <row r="53" spans="1:95" outlineLevel="1" x14ac:dyDescent="0.25">
      <c r="B53" t="s">
        <v>13</v>
      </c>
      <c r="D53" s="53">
        <f t="shared" ref="D53:AI53" si="28">Opening_year_with_scheme_NOx_emissions*Opening_year_mask</f>
        <v>0</v>
      </c>
      <c r="E53" s="53">
        <f t="shared" si="28"/>
        <v>0</v>
      </c>
      <c r="F53" s="53">
        <f t="shared" si="28"/>
        <v>0</v>
      </c>
      <c r="G53" s="53">
        <f t="shared" si="28"/>
        <v>0</v>
      </c>
      <c r="H53" s="53">
        <f t="shared" si="28"/>
        <v>0</v>
      </c>
      <c r="I53" s="53">
        <f t="shared" si="28"/>
        <v>0</v>
      </c>
      <c r="J53" s="53">
        <f t="shared" si="28"/>
        <v>0</v>
      </c>
      <c r="K53" s="53">
        <f t="shared" si="28"/>
        <v>0</v>
      </c>
      <c r="L53" s="53">
        <f t="shared" si="28"/>
        <v>0</v>
      </c>
      <c r="M53" s="53">
        <f t="shared" si="28"/>
        <v>0</v>
      </c>
      <c r="N53" s="53">
        <f t="shared" si="28"/>
        <v>0</v>
      </c>
      <c r="O53" s="53">
        <f t="shared" si="28"/>
        <v>0</v>
      </c>
      <c r="P53" s="53">
        <f t="shared" si="28"/>
        <v>0</v>
      </c>
      <c r="Q53" s="53">
        <f t="shared" si="28"/>
        <v>0</v>
      </c>
      <c r="R53" s="53">
        <f t="shared" si="28"/>
        <v>0</v>
      </c>
      <c r="S53" s="53">
        <f t="shared" si="28"/>
        <v>0</v>
      </c>
      <c r="T53" s="53">
        <f t="shared" si="28"/>
        <v>136.97176844772562</v>
      </c>
      <c r="U53" s="53">
        <f t="shared" si="28"/>
        <v>0</v>
      </c>
      <c r="V53" s="53">
        <f t="shared" si="28"/>
        <v>0</v>
      </c>
      <c r="W53" s="53">
        <f t="shared" si="28"/>
        <v>0</v>
      </c>
      <c r="X53" s="53">
        <f t="shared" si="28"/>
        <v>0</v>
      </c>
      <c r="Y53" s="53">
        <f t="shared" si="28"/>
        <v>0</v>
      </c>
      <c r="Z53" s="53">
        <f t="shared" si="28"/>
        <v>0</v>
      </c>
      <c r="AA53" s="53">
        <f t="shared" si="28"/>
        <v>0</v>
      </c>
      <c r="AB53" s="53">
        <f t="shared" si="28"/>
        <v>0</v>
      </c>
      <c r="AC53" s="53">
        <f t="shared" si="28"/>
        <v>0</v>
      </c>
      <c r="AD53" s="53">
        <f t="shared" si="28"/>
        <v>0</v>
      </c>
      <c r="AE53" s="53">
        <f t="shared" si="28"/>
        <v>0</v>
      </c>
      <c r="AF53" s="53">
        <f t="shared" si="28"/>
        <v>0</v>
      </c>
      <c r="AG53" s="53">
        <f t="shared" si="28"/>
        <v>0</v>
      </c>
      <c r="AH53" s="53">
        <f t="shared" si="28"/>
        <v>0</v>
      </c>
      <c r="AI53" s="53">
        <f t="shared" si="28"/>
        <v>0</v>
      </c>
      <c r="AJ53" s="53">
        <f t="shared" ref="AJ53:BO53" si="29">Opening_year_with_scheme_NOx_emissions*Opening_year_mask</f>
        <v>0</v>
      </c>
      <c r="AK53" s="53">
        <f t="shared" si="29"/>
        <v>0</v>
      </c>
      <c r="AL53" s="53">
        <f t="shared" si="29"/>
        <v>0</v>
      </c>
      <c r="AM53" s="53">
        <f t="shared" si="29"/>
        <v>0</v>
      </c>
      <c r="AN53" s="53">
        <f t="shared" si="29"/>
        <v>0</v>
      </c>
      <c r="AO53" s="53">
        <f t="shared" si="29"/>
        <v>0</v>
      </c>
      <c r="AP53" s="53">
        <f t="shared" si="29"/>
        <v>0</v>
      </c>
      <c r="AQ53" s="53">
        <f t="shared" si="29"/>
        <v>0</v>
      </c>
      <c r="AR53" s="53">
        <f t="shared" si="29"/>
        <v>0</v>
      </c>
      <c r="AS53" s="53">
        <f t="shared" si="29"/>
        <v>0</v>
      </c>
      <c r="AT53" s="53">
        <f t="shared" si="29"/>
        <v>0</v>
      </c>
      <c r="AU53" s="53">
        <f t="shared" si="29"/>
        <v>0</v>
      </c>
      <c r="AV53" s="53">
        <f t="shared" si="29"/>
        <v>0</v>
      </c>
      <c r="AW53" s="53">
        <f t="shared" si="29"/>
        <v>0</v>
      </c>
      <c r="AX53" s="53">
        <f t="shared" si="29"/>
        <v>0</v>
      </c>
      <c r="AY53" s="53">
        <f t="shared" si="29"/>
        <v>0</v>
      </c>
      <c r="AZ53" s="53">
        <f t="shared" si="29"/>
        <v>0</v>
      </c>
      <c r="BA53" s="53">
        <f t="shared" si="29"/>
        <v>0</v>
      </c>
      <c r="BB53" s="53">
        <f t="shared" si="29"/>
        <v>0</v>
      </c>
      <c r="BC53" s="53">
        <f t="shared" si="29"/>
        <v>0</v>
      </c>
      <c r="BD53" s="53">
        <f t="shared" si="29"/>
        <v>0</v>
      </c>
      <c r="BE53" s="53">
        <f t="shared" si="29"/>
        <v>0</v>
      </c>
      <c r="BF53" s="53">
        <f t="shared" si="29"/>
        <v>0</v>
      </c>
      <c r="BG53" s="53">
        <f t="shared" si="29"/>
        <v>0</v>
      </c>
      <c r="BH53" s="53">
        <f t="shared" si="29"/>
        <v>0</v>
      </c>
      <c r="BI53" s="53">
        <f t="shared" si="29"/>
        <v>0</v>
      </c>
      <c r="BJ53" s="53">
        <f t="shared" si="29"/>
        <v>0</v>
      </c>
      <c r="BK53" s="53">
        <f t="shared" si="29"/>
        <v>0</v>
      </c>
      <c r="BL53" s="53">
        <f t="shared" si="29"/>
        <v>0</v>
      </c>
      <c r="BM53" s="53">
        <f t="shared" si="29"/>
        <v>0</v>
      </c>
      <c r="BN53" s="53">
        <f t="shared" si="29"/>
        <v>0</v>
      </c>
      <c r="BO53" s="53">
        <f t="shared" si="29"/>
        <v>0</v>
      </c>
      <c r="BP53" s="53">
        <f t="shared" ref="BP53:CP53" si="30">Opening_year_with_scheme_NOx_emissions*Opening_year_mask</f>
        <v>0</v>
      </c>
      <c r="BQ53" s="53">
        <f t="shared" si="30"/>
        <v>0</v>
      </c>
      <c r="BR53" s="53">
        <f t="shared" si="30"/>
        <v>0</v>
      </c>
      <c r="BS53" s="53">
        <f t="shared" si="30"/>
        <v>0</v>
      </c>
      <c r="BT53" s="53">
        <f t="shared" si="30"/>
        <v>0</v>
      </c>
      <c r="BU53" s="53">
        <f t="shared" si="30"/>
        <v>0</v>
      </c>
      <c r="BV53" s="53">
        <f t="shared" si="30"/>
        <v>0</v>
      </c>
      <c r="BW53" s="53">
        <f t="shared" si="30"/>
        <v>0</v>
      </c>
      <c r="BX53" s="53">
        <f t="shared" si="30"/>
        <v>0</v>
      </c>
      <c r="BY53" s="53">
        <f t="shared" si="30"/>
        <v>0</v>
      </c>
      <c r="BZ53" s="53">
        <f t="shared" si="30"/>
        <v>0</v>
      </c>
      <c r="CA53" s="53">
        <f t="shared" si="30"/>
        <v>0</v>
      </c>
      <c r="CB53" s="53">
        <f t="shared" si="30"/>
        <v>0</v>
      </c>
      <c r="CC53" s="53">
        <f t="shared" si="30"/>
        <v>0</v>
      </c>
      <c r="CD53" s="53">
        <f t="shared" si="30"/>
        <v>0</v>
      </c>
      <c r="CE53" s="53">
        <f t="shared" si="30"/>
        <v>0</v>
      </c>
      <c r="CF53" s="53">
        <f t="shared" si="30"/>
        <v>0</v>
      </c>
      <c r="CG53" s="53">
        <f t="shared" si="30"/>
        <v>0</v>
      </c>
      <c r="CH53" s="53">
        <f t="shared" si="30"/>
        <v>0</v>
      </c>
      <c r="CI53" s="53">
        <f t="shared" si="30"/>
        <v>0</v>
      </c>
      <c r="CJ53" s="53">
        <f t="shared" si="30"/>
        <v>0</v>
      </c>
      <c r="CK53" s="53">
        <f t="shared" si="30"/>
        <v>0</v>
      </c>
      <c r="CL53" s="53">
        <f t="shared" si="30"/>
        <v>0</v>
      </c>
      <c r="CM53" s="53">
        <f t="shared" si="30"/>
        <v>0</v>
      </c>
      <c r="CN53" s="53">
        <f t="shared" si="30"/>
        <v>0</v>
      </c>
      <c r="CO53" s="53">
        <f t="shared" si="30"/>
        <v>0</v>
      </c>
      <c r="CP53" s="53">
        <f t="shared" si="30"/>
        <v>0</v>
      </c>
      <c r="CQ53" s="52" t="s">
        <v>226</v>
      </c>
    </row>
    <row r="54" spans="1:95" outlineLevel="1" x14ac:dyDescent="0.25">
      <c r="B54" t="s">
        <v>75</v>
      </c>
      <c r="D54" s="53">
        <f t="shared" ref="D54:AI54" si="31">Forecast_year_with_scheme_NOx_emissions*Forecast_year_mask</f>
        <v>0</v>
      </c>
      <c r="E54" s="53">
        <f t="shared" si="31"/>
        <v>0</v>
      </c>
      <c r="F54" s="53">
        <f t="shared" si="31"/>
        <v>0</v>
      </c>
      <c r="G54" s="53">
        <f t="shared" si="31"/>
        <v>0</v>
      </c>
      <c r="H54" s="53">
        <f t="shared" si="31"/>
        <v>0</v>
      </c>
      <c r="I54" s="53">
        <f t="shared" si="31"/>
        <v>0</v>
      </c>
      <c r="J54" s="53">
        <f t="shared" si="31"/>
        <v>0</v>
      </c>
      <c r="K54" s="53">
        <f t="shared" si="31"/>
        <v>0</v>
      </c>
      <c r="L54" s="53">
        <f t="shared" si="31"/>
        <v>0</v>
      </c>
      <c r="M54" s="53">
        <f t="shared" si="31"/>
        <v>0</v>
      </c>
      <c r="N54" s="53">
        <f t="shared" si="31"/>
        <v>0</v>
      </c>
      <c r="O54" s="53">
        <f t="shared" si="31"/>
        <v>0</v>
      </c>
      <c r="P54" s="53">
        <f t="shared" si="31"/>
        <v>0</v>
      </c>
      <c r="Q54" s="53">
        <f t="shared" si="31"/>
        <v>0</v>
      </c>
      <c r="R54" s="53">
        <f t="shared" si="31"/>
        <v>0</v>
      </c>
      <c r="S54" s="53">
        <f t="shared" si="31"/>
        <v>0</v>
      </c>
      <c r="T54" s="53">
        <f t="shared" si="31"/>
        <v>0</v>
      </c>
      <c r="U54" s="53">
        <f t="shared" si="31"/>
        <v>0</v>
      </c>
      <c r="V54" s="53">
        <f t="shared" si="31"/>
        <v>0</v>
      </c>
      <c r="W54" s="53">
        <f t="shared" si="31"/>
        <v>0</v>
      </c>
      <c r="X54" s="53">
        <f t="shared" si="31"/>
        <v>0</v>
      </c>
      <c r="Y54" s="53">
        <f t="shared" si="31"/>
        <v>0</v>
      </c>
      <c r="Z54" s="53">
        <f t="shared" si="31"/>
        <v>0</v>
      </c>
      <c r="AA54" s="53">
        <f t="shared" si="31"/>
        <v>0</v>
      </c>
      <c r="AB54" s="53">
        <f t="shared" si="31"/>
        <v>0</v>
      </c>
      <c r="AC54" s="53">
        <f t="shared" si="31"/>
        <v>0</v>
      </c>
      <c r="AD54" s="53">
        <f t="shared" si="31"/>
        <v>131.55557736777939</v>
      </c>
      <c r="AE54" s="53">
        <f t="shared" si="31"/>
        <v>0</v>
      </c>
      <c r="AF54" s="53">
        <f t="shared" si="31"/>
        <v>0</v>
      </c>
      <c r="AG54" s="53">
        <f t="shared" si="31"/>
        <v>0</v>
      </c>
      <c r="AH54" s="53">
        <f t="shared" si="31"/>
        <v>0</v>
      </c>
      <c r="AI54" s="53">
        <f t="shared" si="31"/>
        <v>0</v>
      </c>
      <c r="AJ54" s="53">
        <f t="shared" ref="AJ54:BO54" si="32">Forecast_year_with_scheme_NOx_emissions*Forecast_year_mask</f>
        <v>0</v>
      </c>
      <c r="AK54" s="53">
        <f t="shared" si="32"/>
        <v>0</v>
      </c>
      <c r="AL54" s="53">
        <f t="shared" si="32"/>
        <v>0</v>
      </c>
      <c r="AM54" s="53">
        <f t="shared" si="32"/>
        <v>0</v>
      </c>
      <c r="AN54" s="53">
        <f t="shared" si="32"/>
        <v>0</v>
      </c>
      <c r="AO54" s="53">
        <f t="shared" si="32"/>
        <v>0</v>
      </c>
      <c r="AP54" s="53">
        <f t="shared" si="32"/>
        <v>0</v>
      </c>
      <c r="AQ54" s="53">
        <f t="shared" si="32"/>
        <v>0</v>
      </c>
      <c r="AR54" s="53">
        <f t="shared" si="32"/>
        <v>0</v>
      </c>
      <c r="AS54" s="53">
        <f t="shared" si="32"/>
        <v>0</v>
      </c>
      <c r="AT54" s="53">
        <f t="shared" si="32"/>
        <v>0</v>
      </c>
      <c r="AU54" s="53">
        <f t="shared" si="32"/>
        <v>0</v>
      </c>
      <c r="AV54" s="53">
        <f t="shared" si="32"/>
        <v>0</v>
      </c>
      <c r="AW54" s="53">
        <f t="shared" si="32"/>
        <v>0</v>
      </c>
      <c r="AX54" s="53">
        <f t="shared" si="32"/>
        <v>0</v>
      </c>
      <c r="AY54" s="53">
        <f t="shared" si="32"/>
        <v>0</v>
      </c>
      <c r="AZ54" s="53">
        <f t="shared" si="32"/>
        <v>0</v>
      </c>
      <c r="BA54" s="53">
        <f t="shared" si="32"/>
        <v>0</v>
      </c>
      <c r="BB54" s="53">
        <f t="shared" si="32"/>
        <v>0</v>
      </c>
      <c r="BC54" s="53">
        <f t="shared" si="32"/>
        <v>0</v>
      </c>
      <c r="BD54" s="53">
        <f t="shared" si="32"/>
        <v>0</v>
      </c>
      <c r="BE54" s="53">
        <f t="shared" si="32"/>
        <v>0</v>
      </c>
      <c r="BF54" s="53">
        <f t="shared" si="32"/>
        <v>0</v>
      </c>
      <c r="BG54" s="53">
        <f t="shared" si="32"/>
        <v>0</v>
      </c>
      <c r="BH54" s="53">
        <f t="shared" si="32"/>
        <v>0</v>
      </c>
      <c r="BI54" s="53">
        <f t="shared" si="32"/>
        <v>0</v>
      </c>
      <c r="BJ54" s="53">
        <f t="shared" si="32"/>
        <v>0</v>
      </c>
      <c r="BK54" s="53">
        <f t="shared" si="32"/>
        <v>0</v>
      </c>
      <c r="BL54" s="53">
        <f t="shared" si="32"/>
        <v>0</v>
      </c>
      <c r="BM54" s="53">
        <f t="shared" si="32"/>
        <v>0</v>
      </c>
      <c r="BN54" s="53">
        <f t="shared" si="32"/>
        <v>0</v>
      </c>
      <c r="BO54" s="53">
        <f t="shared" si="32"/>
        <v>0</v>
      </c>
      <c r="BP54" s="53">
        <f t="shared" ref="BP54:CP54" si="33">Forecast_year_with_scheme_NOx_emissions*Forecast_year_mask</f>
        <v>0</v>
      </c>
      <c r="BQ54" s="53">
        <f t="shared" si="33"/>
        <v>0</v>
      </c>
      <c r="BR54" s="53">
        <f t="shared" si="33"/>
        <v>0</v>
      </c>
      <c r="BS54" s="53">
        <f t="shared" si="33"/>
        <v>0</v>
      </c>
      <c r="BT54" s="53">
        <f t="shared" si="33"/>
        <v>0</v>
      </c>
      <c r="BU54" s="53">
        <f t="shared" si="33"/>
        <v>0</v>
      </c>
      <c r="BV54" s="53">
        <f t="shared" si="33"/>
        <v>0</v>
      </c>
      <c r="BW54" s="53">
        <f t="shared" si="33"/>
        <v>0</v>
      </c>
      <c r="BX54" s="53">
        <f t="shared" si="33"/>
        <v>0</v>
      </c>
      <c r="BY54" s="53">
        <f t="shared" si="33"/>
        <v>0</v>
      </c>
      <c r="BZ54" s="53">
        <f t="shared" si="33"/>
        <v>0</v>
      </c>
      <c r="CA54" s="53">
        <f t="shared" si="33"/>
        <v>0</v>
      </c>
      <c r="CB54" s="53">
        <f t="shared" si="33"/>
        <v>0</v>
      </c>
      <c r="CC54" s="53">
        <f t="shared" si="33"/>
        <v>0</v>
      </c>
      <c r="CD54" s="53">
        <f t="shared" si="33"/>
        <v>0</v>
      </c>
      <c r="CE54" s="53">
        <f t="shared" si="33"/>
        <v>0</v>
      </c>
      <c r="CF54" s="53">
        <f t="shared" si="33"/>
        <v>0</v>
      </c>
      <c r="CG54" s="53">
        <f t="shared" si="33"/>
        <v>0</v>
      </c>
      <c r="CH54" s="53">
        <f t="shared" si="33"/>
        <v>0</v>
      </c>
      <c r="CI54" s="53">
        <f t="shared" si="33"/>
        <v>0</v>
      </c>
      <c r="CJ54" s="53">
        <f t="shared" si="33"/>
        <v>0</v>
      </c>
      <c r="CK54" s="53">
        <f t="shared" si="33"/>
        <v>0</v>
      </c>
      <c r="CL54" s="53">
        <f t="shared" si="33"/>
        <v>0</v>
      </c>
      <c r="CM54" s="53">
        <f t="shared" si="33"/>
        <v>0</v>
      </c>
      <c r="CN54" s="53">
        <f t="shared" si="33"/>
        <v>0</v>
      </c>
      <c r="CO54" s="53">
        <f t="shared" si="33"/>
        <v>0</v>
      </c>
      <c r="CP54" s="53">
        <f t="shared" si="33"/>
        <v>0</v>
      </c>
      <c r="CQ54" s="52" t="s">
        <v>227</v>
      </c>
    </row>
    <row r="55" spans="1:95" outlineLevel="1" x14ac:dyDescent="0.25">
      <c r="B55" t="s">
        <v>84</v>
      </c>
      <c r="D55" s="53">
        <f t="shared" ref="D55:AI55" si="34">(Opening_year_with_scheme_NOx_emissions+(Difference_with_scheme_NOx_emissions)*(year-Opening_year)/(Interpolation_period_length))*Interpolation_mask</f>
        <v>0</v>
      </c>
      <c r="E55" s="53">
        <f t="shared" si="34"/>
        <v>0</v>
      </c>
      <c r="F55" s="53">
        <f t="shared" si="34"/>
        <v>0</v>
      </c>
      <c r="G55" s="53">
        <f t="shared" si="34"/>
        <v>0</v>
      </c>
      <c r="H55" s="53">
        <f t="shared" si="34"/>
        <v>0</v>
      </c>
      <c r="I55" s="53">
        <f t="shared" si="34"/>
        <v>0</v>
      </c>
      <c r="J55" s="53">
        <f t="shared" si="34"/>
        <v>0</v>
      </c>
      <c r="K55" s="53">
        <f t="shared" si="34"/>
        <v>0</v>
      </c>
      <c r="L55" s="53">
        <f t="shared" si="34"/>
        <v>0</v>
      </c>
      <c r="M55" s="53">
        <f t="shared" si="34"/>
        <v>0</v>
      </c>
      <c r="N55" s="53">
        <f t="shared" si="34"/>
        <v>0</v>
      </c>
      <c r="O55" s="53">
        <f t="shared" si="34"/>
        <v>0</v>
      </c>
      <c r="P55" s="53">
        <f t="shared" si="34"/>
        <v>0</v>
      </c>
      <c r="Q55" s="53">
        <f t="shared" si="34"/>
        <v>0</v>
      </c>
      <c r="R55" s="53">
        <f t="shared" si="34"/>
        <v>0</v>
      </c>
      <c r="S55" s="53">
        <f t="shared" si="34"/>
        <v>0</v>
      </c>
      <c r="T55" s="53">
        <f t="shared" si="34"/>
        <v>0</v>
      </c>
      <c r="U55" s="53">
        <f t="shared" si="34"/>
        <v>136.430149339731</v>
      </c>
      <c r="V55" s="53">
        <f t="shared" si="34"/>
        <v>135.88853023173638</v>
      </c>
      <c r="W55" s="53">
        <f t="shared" si="34"/>
        <v>135.34691112374176</v>
      </c>
      <c r="X55" s="53">
        <f t="shared" si="34"/>
        <v>134.80529201574714</v>
      </c>
      <c r="Y55" s="53">
        <f t="shared" si="34"/>
        <v>134.26367290775249</v>
      </c>
      <c r="Z55" s="53">
        <f t="shared" si="34"/>
        <v>133.72205379975787</v>
      </c>
      <c r="AA55" s="53">
        <f t="shared" si="34"/>
        <v>133.18043469176325</v>
      </c>
      <c r="AB55" s="53">
        <f t="shared" si="34"/>
        <v>132.63881558376863</v>
      </c>
      <c r="AC55" s="53">
        <f t="shared" si="34"/>
        <v>132.09719647577401</v>
      </c>
      <c r="AD55" s="53">
        <f t="shared" si="34"/>
        <v>0</v>
      </c>
      <c r="AE55" s="53">
        <f t="shared" si="34"/>
        <v>0</v>
      </c>
      <c r="AF55" s="53">
        <f t="shared" si="34"/>
        <v>0</v>
      </c>
      <c r="AG55" s="53">
        <f t="shared" si="34"/>
        <v>0</v>
      </c>
      <c r="AH55" s="53">
        <f t="shared" si="34"/>
        <v>0</v>
      </c>
      <c r="AI55" s="53">
        <f t="shared" si="34"/>
        <v>0</v>
      </c>
      <c r="AJ55" s="53">
        <f t="shared" ref="AJ55:BO55" si="35">(Opening_year_with_scheme_NOx_emissions+(Difference_with_scheme_NOx_emissions)*(year-Opening_year)/(Interpolation_period_length))*Interpolation_mask</f>
        <v>0</v>
      </c>
      <c r="AK55" s="53">
        <f t="shared" si="35"/>
        <v>0</v>
      </c>
      <c r="AL55" s="53">
        <f t="shared" si="35"/>
        <v>0</v>
      </c>
      <c r="AM55" s="53">
        <f t="shared" si="35"/>
        <v>0</v>
      </c>
      <c r="AN55" s="53">
        <f t="shared" si="35"/>
        <v>0</v>
      </c>
      <c r="AO55" s="53">
        <f t="shared" si="35"/>
        <v>0</v>
      </c>
      <c r="AP55" s="53">
        <f t="shared" si="35"/>
        <v>0</v>
      </c>
      <c r="AQ55" s="53">
        <f t="shared" si="35"/>
        <v>0</v>
      </c>
      <c r="AR55" s="53">
        <f t="shared" si="35"/>
        <v>0</v>
      </c>
      <c r="AS55" s="53">
        <f t="shared" si="35"/>
        <v>0</v>
      </c>
      <c r="AT55" s="53">
        <f t="shared" si="35"/>
        <v>0</v>
      </c>
      <c r="AU55" s="53">
        <f t="shared" si="35"/>
        <v>0</v>
      </c>
      <c r="AV55" s="53">
        <f t="shared" si="35"/>
        <v>0</v>
      </c>
      <c r="AW55" s="53">
        <f t="shared" si="35"/>
        <v>0</v>
      </c>
      <c r="AX55" s="53">
        <f t="shared" si="35"/>
        <v>0</v>
      </c>
      <c r="AY55" s="53">
        <f t="shared" si="35"/>
        <v>0</v>
      </c>
      <c r="AZ55" s="53">
        <f t="shared" si="35"/>
        <v>0</v>
      </c>
      <c r="BA55" s="53">
        <f t="shared" si="35"/>
        <v>0</v>
      </c>
      <c r="BB55" s="53">
        <f t="shared" si="35"/>
        <v>0</v>
      </c>
      <c r="BC55" s="53">
        <f t="shared" si="35"/>
        <v>0</v>
      </c>
      <c r="BD55" s="53">
        <f t="shared" si="35"/>
        <v>0</v>
      </c>
      <c r="BE55" s="53">
        <f t="shared" si="35"/>
        <v>0</v>
      </c>
      <c r="BF55" s="53">
        <f t="shared" si="35"/>
        <v>0</v>
      </c>
      <c r="BG55" s="53">
        <f t="shared" si="35"/>
        <v>0</v>
      </c>
      <c r="BH55" s="53">
        <f t="shared" si="35"/>
        <v>0</v>
      </c>
      <c r="BI55" s="53">
        <f t="shared" si="35"/>
        <v>0</v>
      </c>
      <c r="BJ55" s="53">
        <f t="shared" si="35"/>
        <v>0</v>
      </c>
      <c r="BK55" s="53">
        <f t="shared" si="35"/>
        <v>0</v>
      </c>
      <c r="BL55" s="53">
        <f t="shared" si="35"/>
        <v>0</v>
      </c>
      <c r="BM55" s="53">
        <f t="shared" si="35"/>
        <v>0</v>
      </c>
      <c r="BN55" s="53">
        <f t="shared" si="35"/>
        <v>0</v>
      </c>
      <c r="BO55" s="53">
        <f t="shared" si="35"/>
        <v>0</v>
      </c>
      <c r="BP55" s="53">
        <f t="shared" ref="BP55:CP55" si="36">(Opening_year_with_scheme_NOx_emissions+(Difference_with_scheme_NOx_emissions)*(year-Opening_year)/(Interpolation_period_length))*Interpolation_mask</f>
        <v>0</v>
      </c>
      <c r="BQ55" s="53">
        <f t="shared" si="36"/>
        <v>0</v>
      </c>
      <c r="BR55" s="53">
        <f t="shared" si="36"/>
        <v>0</v>
      </c>
      <c r="BS55" s="53">
        <f t="shared" si="36"/>
        <v>0</v>
      </c>
      <c r="BT55" s="53">
        <f t="shared" si="36"/>
        <v>0</v>
      </c>
      <c r="BU55" s="53">
        <f t="shared" si="36"/>
        <v>0</v>
      </c>
      <c r="BV55" s="53">
        <f t="shared" si="36"/>
        <v>0</v>
      </c>
      <c r="BW55" s="53">
        <f t="shared" si="36"/>
        <v>0</v>
      </c>
      <c r="BX55" s="53">
        <f t="shared" si="36"/>
        <v>0</v>
      </c>
      <c r="BY55" s="53">
        <f t="shared" si="36"/>
        <v>0</v>
      </c>
      <c r="BZ55" s="53">
        <f t="shared" si="36"/>
        <v>0</v>
      </c>
      <c r="CA55" s="53">
        <f t="shared" si="36"/>
        <v>0</v>
      </c>
      <c r="CB55" s="53">
        <f t="shared" si="36"/>
        <v>0</v>
      </c>
      <c r="CC55" s="53">
        <f t="shared" si="36"/>
        <v>0</v>
      </c>
      <c r="CD55" s="53">
        <f t="shared" si="36"/>
        <v>0</v>
      </c>
      <c r="CE55" s="53">
        <f t="shared" si="36"/>
        <v>0</v>
      </c>
      <c r="CF55" s="53">
        <f t="shared" si="36"/>
        <v>0</v>
      </c>
      <c r="CG55" s="53">
        <f t="shared" si="36"/>
        <v>0</v>
      </c>
      <c r="CH55" s="53">
        <f t="shared" si="36"/>
        <v>0</v>
      </c>
      <c r="CI55" s="53">
        <f t="shared" si="36"/>
        <v>0</v>
      </c>
      <c r="CJ55" s="53">
        <f t="shared" si="36"/>
        <v>0</v>
      </c>
      <c r="CK55" s="53">
        <f t="shared" si="36"/>
        <v>0</v>
      </c>
      <c r="CL55" s="53">
        <f t="shared" si="36"/>
        <v>0</v>
      </c>
      <c r="CM55" s="53">
        <f t="shared" si="36"/>
        <v>0</v>
      </c>
      <c r="CN55" s="53">
        <f t="shared" si="36"/>
        <v>0</v>
      </c>
      <c r="CO55" s="53">
        <f t="shared" si="36"/>
        <v>0</v>
      </c>
      <c r="CP55" s="53">
        <f t="shared" si="36"/>
        <v>0</v>
      </c>
      <c r="CQ55" s="52" t="s">
        <v>228</v>
      </c>
    </row>
    <row r="56" spans="1:95" outlineLevel="1" x14ac:dyDescent="0.25">
      <c r="B56" t="s">
        <v>115</v>
      </c>
      <c r="D56" s="53">
        <f t="shared" ref="D56:AI56" si="37">Forecast_year_with_scheme_NOx_emissions*Extrapolation_mask</f>
        <v>0</v>
      </c>
      <c r="E56" s="53">
        <f t="shared" si="37"/>
        <v>0</v>
      </c>
      <c r="F56" s="53">
        <f t="shared" si="37"/>
        <v>0</v>
      </c>
      <c r="G56" s="53">
        <f t="shared" si="37"/>
        <v>0</v>
      </c>
      <c r="H56" s="53">
        <f t="shared" si="37"/>
        <v>0</v>
      </c>
      <c r="I56" s="53">
        <f t="shared" si="37"/>
        <v>0</v>
      </c>
      <c r="J56" s="53">
        <f t="shared" si="37"/>
        <v>0</v>
      </c>
      <c r="K56" s="53">
        <f t="shared" si="37"/>
        <v>0</v>
      </c>
      <c r="L56" s="53">
        <f t="shared" si="37"/>
        <v>0</v>
      </c>
      <c r="M56" s="53">
        <f t="shared" si="37"/>
        <v>0</v>
      </c>
      <c r="N56" s="53">
        <f t="shared" si="37"/>
        <v>0</v>
      </c>
      <c r="O56" s="53">
        <f t="shared" si="37"/>
        <v>0</v>
      </c>
      <c r="P56" s="53">
        <f t="shared" si="37"/>
        <v>0</v>
      </c>
      <c r="Q56" s="53">
        <f t="shared" si="37"/>
        <v>0</v>
      </c>
      <c r="R56" s="53">
        <f t="shared" si="37"/>
        <v>0</v>
      </c>
      <c r="S56" s="53">
        <f t="shared" si="37"/>
        <v>0</v>
      </c>
      <c r="T56" s="53">
        <f t="shared" si="37"/>
        <v>0</v>
      </c>
      <c r="U56" s="53">
        <f t="shared" si="37"/>
        <v>0</v>
      </c>
      <c r="V56" s="53">
        <f t="shared" si="37"/>
        <v>0</v>
      </c>
      <c r="W56" s="53">
        <f t="shared" si="37"/>
        <v>0</v>
      </c>
      <c r="X56" s="53">
        <f t="shared" si="37"/>
        <v>0</v>
      </c>
      <c r="Y56" s="53">
        <f t="shared" si="37"/>
        <v>0</v>
      </c>
      <c r="Z56" s="53">
        <f t="shared" si="37"/>
        <v>0</v>
      </c>
      <c r="AA56" s="53">
        <f t="shared" si="37"/>
        <v>0</v>
      </c>
      <c r="AB56" s="53">
        <f t="shared" si="37"/>
        <v>0</v>
      </c>
      <c r="AC56" s="53">
        <f t="shared" si="37"/>
        <v>0</v>
      </c>
      <c r="AD56" s="53">
        <f t="shared" si="37"/>
        <v>0</v>
      </c>
      <c r="AE56" s="53">
        <f t="shared" si="37"/>
        <v>131.55557736777939</v>
      </c>
      <c r="AF56" s="53">
        <f t="shared" si="37"/>
        <v>131.55557736777939</v>
      </c>
      <c r="AG56" s="53">
        <f t="shared" si="37"/>
        <v>131.55557736777939</v>
      </c>
      <c r="AH56" s="53">
        <f t="shared" si="37"/>
        <v>131.55557736777939</v>
      </c>
      <c r="AI56" s="53">
        <f t="shared" si="37"/>
        <v>131.55557736777939</v>
      </c>
      <c r="AJ56" s="53">
        <f t="shared" ref="AJ56:BO56" si="38">Forecast_year_with_scheme_NOx_emissions*Extrapolation_mask</f>
        <v>131.55557736777939</v>
      </c>
      <c r="AK56" s="53">
        <f t="shared" si="38"/>
        <v>131.55557736777939</v>
      </c>
      <c r="AL56" s="53">
        <f t="shared" si="38"/>
        <v>131.55557736777939</v>
      </c>
      <c r="AM56" s="53">
        <f t="shared" si="38"/>
        <v>131.55557736777939</v>
      </c>
      <c r="AN56" s="53">
        <f t="shared" si="38"/>
        <v>131.55557736777939</v>
      </c>
      <c r="AO56" s="53">
        <f t="shared" si="38"/>
        <v>131.55557736777939</v>
      </c>
      <c r="AP56" s="53">
        <f t="shared" si="38"/>
        <v>131.55557736777939</v>
      </c>
      <c r="AQ56" s="53">
        <f t="shared" si="38"/>
        <v>131.55557736777939</v>
      </c>
      <c r="AR56" s="53">
        <f t="shared" si="38"/>
        <v>131.55557736777939</v>
      </c>
      <c r="AS56" s="53">
        <f t="shared" si="38"/>
        <v>131.55557736777939</v>
      </c>
      <c r="AT56" s="53">
        <f t="shared" si="38"/>
        <v>131.55557736777939</v>
      </c>
      <c r="AU56" s="53">
        <f t="shared" si="38"/>
        <v>131.55557736777939</v>
      </c>
      <c r="AV56" s="53">
        <f t="shared" si="38"/>
        <v>131.55557736777939</v>
      </c>
      <c r="AW56" s="53">
        <f t="shared" si="38"/>
        <v>131.55557736777939</v>
      </c>
      <c r="AX56" s="53">
        <f t="shared" si="38"/>
        <v>131.55557736777939</v>
      </c>
      <c r="AY56" s="53">
        <f t="shared" si="38"/>
        <v>131.55557736777939</v>
      </c>
      <c r="AZ56" s="53">
        <f t="shared" si="38"/>
        <v>131.55557736777939</v>
      </c>
      <c r="BA56" s="53">
        <f t="shared" si="38"/>
        <v>131.55557736777939</v>
      </c>
      <c r="BB56" s="53">
        <f t="shared" si="38"/>
        <v>131.55557736777939</v>
      </c>
      <c r="BC56" s="53">
        <f t="shared" si="38"/>
        <v>131.55557736777939</v>
      </c>
      <c r="BD56" s="53">
        <f t="shared" si="38"/>
        <v>131.55557736777939</v>
      </c>
      <c r="BE56" s="53">
        <f t="shared" si="38"/>
        <v>131.55557736777939</v>
      </c>
      <c r="BF56" s="53">
        <f t="shared" si="38"/>
        <v>131.55557736777939</v>
      </c>
      <c r="BG56" s="53">
        <f t="shared" si="38"/>
        <v>131.55557736777939</v>
      </c>
      <c r="BH56" s="53">
        <f t="shared" si="38"/>
        <v>131.55557736777939</v>
      </c>
      <c r="BI56" s="53">
        <f t="shared" si="38"/>
        <v>131.55557736777939</v>
      </c>
      <c r="BJ56" s="53">
        <f t="shared" si="38"/>
        <v>131.55557736777939</v>
      </c>
      <c r="BK56" s="53">
        <f t="shared" si="38"/>
        <v>131.55557736777939</v>
      </c>
      <c r="BL56" s="53">
        <f t="shared" si="38"/>
        <v>131.55557736777939</v>
      </c>
      <c r="BM56" s="53">
        <f t="shared" si="38"/>
        <v>131.55557736777939</v>
      </c>
      <c r="BN56" s="53">
        <f t="shared" si="38"/>
        <v>131.55557736777939</v>
      </c>
      <c r="BO56" s="53">
        <f t="shared" si="38"/>
        <v>131.55557736777939</v>
      </c>
      <c r="BP56" s="53">
        <f t="shared" ref="BP56:CP56" si="39">Forecast_year_with_scheme_NOx_emissions*Extrapolation_mask</f>
        <v>131.55557736777939</v>
      </c>
      <c r="BQ56" s="53">
        <f t="shared" si="39"/>
        <v>131.55557736777939</v>
      </c>
      <c r="BR56" s="53">
        <f t="shared" si="39"/>
        <v>131.55557736777939</v>
      </c>
      <c r="BS56" s="53">
        <f t="shared" si="39"/>
        <v>131.55557736777939</v>
      </c>
      <c r="BT56" s="53">
        <f t="shared" si="39"/>
        <v>131.55557736777939</v>
      </c>
      <c r="BU56" s="53">
        <f t="shared" si="39"/>
        <v>131.55557736777939</v>
      </c>
      <c r="BV56" s="53">
        <f t="shared" si="39"/>
        <v>131.55557736777939</v>
      </c>
      <c r="BW56" s="53">
        <f t="shared" si="39"/>
        <v>131.55557736777939</v>
      </c>
      <c r="BX56" s="53">
        <f t="shared" si="39"/>
        <v>131.55557736777939</v>
      </c>
      <c r="BY56" s="53">
        <f t="shared" si="39"/>
        <v>131.55557736777939</v>
      </c>
      <c r="BZ56" s="53">
        <f t="shared" si="39"/>
        <v>131.55557736777939</v>
      </c>
      <c r="CA56" s="53">
        <f t="shared" si="39"/>
        <v>131.55557736777939</v>
      </c>
      <c r="CB56" s="53">
        <f t="shared" si="39"/>
        <v>0</v>
      </c>
      <c r="CC56" s="53">
        <f t="shared" si="39"/>
        <v>0</v>
      </c>
      <c r="CD56" s="53">
        <f t="shared" si="39"/>
        <v>0</v>
      </c>
      <c r="CE56" s="53">
        <f t="shared" si="39"/>
        <v>0</v>
      </c>
      <c r="CF56" s="53">
        <f t="shared" si="39"/>
        <v>0</v>
      </c>
      <c r="CG56" s="53">
        <f t="shared" si="39"/>
        <v>0</v>
      </c>
      <c r="CH56" s="53">
        <f t="shared" si="39"/>
        <v>0</v>
      </c>
      <c r="CI56" s="53">
        <f t="shared" si="39"/>
        <v>0</v>
      </c>
      <c r="CJ56" s="53">
        <f t="shared" si="39"/>
        <v>0</v>
      </c>
      <c r="CK56" s="53">
        <f t="shared" si="39"/>
        <v>0</v>
      </c>
      <c r="CL56" s="53">
        <f t="shared" si="39"/>
        <v>0</v>
      </c>
      <c r="CM56" s="53">
        <f t="shared" si="39"/>
        <v>0</v>
      </c>
      <c r="CN56" s="53">
        <f t="shared" si="39"/>
        <v>0</v>
      </c>
      <c r="CO56" s="53">
        <f t="shared" si="39"/>
        <v>0</v>
      </c>
      <c r="CP56" s="53">
        <f t="shared" si="39"/>
        <v>0</v>
      </c>
      <c r="CQ56" s="52" t="s">
        <v>229</v>
      </c>
    </row>
    <row r="57" spans="1:95" outlineLevel="1" x14ac:dyDescent="0.25">
      <c r="B57" t="s">
        <v>200</v>
      </c>
      <c r="D57" s="53">
        <f t="shared" ref="D57:BO57" si="40">Opening_year_with_scheme_NOx_emissions_mask+Forecast_year_with_scheme_NOx_emissions_mask+Interpolation_with_scheme_NOx_emissions_mask+Extrapolation_with_scheme_NOx_emissions_mask</f>
        <v>0</v>
      </c>
      <c r="E57" s="53">
        <f t="shared" si="40"/>
        <v>0</v>
      </c>
      <c r="F57" s="53">
        <f t="shared" si="40"/>
        <v>0</v>
      </c>
      <c r="G57" s="53">
        <f t="shared" si="40"/>
        <v>0</v>
      </c>
      <c r="H57" s="53">
        <f t="shared" si="40"/>
        <v>0</v>
      </c>
      <c r="I57" s="53">
        <f t="shared" si="40"/>
        <v>0</v>
      </c>
      <c r="J57" s="53">
        <f t="shared" si="40"/>
        <v>0</v>
      </c>
      <c r="K57" s="53">
        <f t="shared" si="40"/>
        <v>0</v>
      </c>
      <c r="L57" s="53">
        <f t="shared" si="40"/>
        <v>0</v>
      </c>
      <c r="M57" s="53">
        <f t="shared" si="40"/>
        <v>0</v>
      </c>
      <c r="N57" s="53">
        <f t="shared" si="40"/>
        <v>0</v>
      </c>
      <c r="O57" s="53">
        <f t="shared" si="40"/>
        <v>0</v>
      </c>
      <c r="P57" s="53">
        <f t="shared" si="40"/>
        <v>0</v>
      </c>
      <c r="Q57" s="53">
        <f t="shared" si="40"/>
        <v>0</v>
      </c>
      <c r="R57" s="53">
        <f t="shared" si="40"/>
        <v>0</v>
      </c>
      <c r="S57" s="53">
        <f t="shared" si="40"/>
        <v>0</v>
      </c>
      <c r="T57" s="53">
        <f t="shared" si="40"/>
        <v>136.97176844772562</v>
      </c>
      <c r="U57" s="53">
        <f t="shared" si="40"/>
        <v>136.430149339731</v>
      </c>
      <c r="V57" s="53">
        <f t="shared" si="40"/>
        <v>135.88853023173638</v>
      </c>
      <c r="W57" s="53">
        <f t="shared" si="40"/>
        <v>135.34691112374176</v>
      </c>
      <c r="X57" s="53">
        <f t="shared" si="40"/>
        <v>134.80529201574714</v>
      </c>
      <c r="Y57" s="53">
        <f t="shared" si="40"/>
        <v>134.26367290775249</v>
      </c>
      <c r="Z57" s="53">
        <f t="shared" si="40"/>
        <v>133.72205379975787</v>
      </c>
      <c r="AA57" s="53">
        <f t="shared" si="40"/>
        <v>133.18043469176325</v>
      </c>
      <c r="AB57" s="53">
        <f t="shared" si="40"/>
        <v>132.63881558376863</v>
      </c>
      <c r="AC57" s="53">
        <f t="shared" si="40"/>
        <v>132.09719647577401</v>
      </c>
      <c r="AD57" s="53">
        <f t="shared" si="40"/>
        <v>131.55557736777939</v>
      </c>
      <c r="AE57" s="53">
        <f t="shared" si="40"/>
        <v>131.55557736777939</v>
      </c>
      <c r="AF57" s="53">
        <f t="shared" si="40"/>
        <v>131.55557736777939</v>
      </c>
      <c r="AG57" s="53">
        <f t="shared" si="40"/>
        <v>131.55557736777939</v>
      </c>
      <c r="AH57" s="53">
        <f t="shared" si="40"/>
        <v>131.55557736777939</v>
      </c>
      <c r="AI57" s="53">
        <f t="shared" si="40"/>
        <v>131.55557736777939</v>
      </c>
      <c r="AJ57" s="53">
        <f t="shared" si="40"/>
        <v>131.55557736777939</v>
      </c>
      <c r="AK57" s="53">
        <f t="shared" si="40"/>
        <v>131.55557736777939</v>
      </c>
      <c r="AL57" s="53">
        <f t="shared" si="40"/>
        <v>131.55557736777939</v>
      </c>
      <c r="AM57" s="53">
        <f t="shared" si="40"/>
        <v>131.55557736777939</v>
      </c>
      <c r="AN57" s="53">
        <f t="shared" si="40"/>
        <v>131.55557736777939</v>
      </c>
      <c r="AO57" s="53">
        <f t="shared" si="40"/>
        <v>131.55557736777939</v>
      </c>
      <c r="AP57" s="53">
        <f t="shared" si="40"/>
        <v>131.55557736777939</v>
      </c>
      <c r="AQ57" s="53">
        <f t="shared" si="40"/>
        <v>131.55557736777939</v>
      </c>
      <c r="AR57" s="53">
        <f t="shared" si="40"/>
        <v>131.55557736777939</v>
      </c>
      <c r="AS57" s="53">
        <f t="shared" si="40"/>
        <v>131.55557736777939</v>
      </c>
      <c r="AT57" s="53">
        <f t="shared" si="40"/>
        <v>131.55557736777939</v>
      </c>
      <c r="AU57" s="53">
        <f t="shared" si="40"/>
        <v>131.55557736777939</v>
      </c>
      <c r="AV57" s="53">
        <f t="shared" si="40"/>
        <v>131.55557736777939</v>
      </c>
      <c r="AW57" s="53">
        <f t="shared" si="40"/>
        <v>131.55557736777939</v>
      </c>
      <c r="AX57" s="53">
        <f t="shared" si="40"/>
        <v>131.55557736777939</v>
      </c>
      <c r="AY57" s="53">
        <f t="shared" si="40"/>
        <v>131.55557736777939</v>
      </c>
      <c r="AZ57" s="53">
        <f t="shared" si="40"/>
        <v>131.55557736777939</v>
      </c>
      <c r="BA57" s="53">
        <f t="shared" si="40"/>
        <v>131.55557736777939</v>
      </c>
      <c r="BB57" s="53">
        <f t="shared" si="40"/>
        <v>131.55557736777939</v>
      </c>
      <c r="BC57" s="53">
        <f t="shared" si="40"/>
        <v>131.55557736777939</v>
      </c>
      <c r="BD57" s="53">
        <f t="shared" si="40"/>
        <v>131.55557736777939</v>
      </c>
      <c r="BE57" s="53">
        <f t="shared" si="40"/>
        <v>131.55557736777939</v>
      </c>
      <c r="BF57" s="53">
        <f t="shared" si="40"/>
        <v>131.55557736777939</v>
      </c>
      <c r="BG57" s="53">
        <f t="shared" si="40"/>
        <v>131.55557736777939</v>
      </c>
      <c r="BH57" s="53">
        <f t="shared" si="40"/>
        <v>131.55557736777939</v>
      </c>
      <c r="BI57" s="53">
        <f t="shared" si="40"/>
        <v>131.55557736777939</v>
      </c>
      <c r="BJ57" s="53">
        <f t="shared" si="40"/>
        <v>131.55557736777939</v>
      </c>
      <c r="BK57" s="53">
        <f t="shared" si="40"/>
        <v>131.55557736777939</v>
      </c>
      <c r="BL57" s="53">
        <f t="shared" si="40"/>
        <v>131.55557736777939</v>
      </c>
      <c r="BM57" s="53">
        <f t="shared" si="40"/>
        <v>131.55557736777939</v>
      </c>
      <c r="BN57" s="53">
        <f t="shared" si="40"/>
        <v>131.55557736777939</v>
      </c>
      <c r="BO57" s="53">
        <f t="shared" si="40"/>
        <v>131.55557736777939</v>
      </c>
      <c r="BP57" s="53">
        <f t="shared" ref="BP57:CP57" si="41">Opening_year_with_scheme_NOx_emissions_mask+Forecast_year_with_scheme_NOx_emissions_mask+Interpolation_with_scheme_NOx_emissions_mask+Extrapolation_with_scheme_NOx_emissions_mask</f>
        <v>131.55557736777939</v>
      </c>
      <c r="BQ57" s="53">
        <f t="shared" si="41"/>
        <v>131.55557736777939</v>
      </c>
      <c r="BR57" s="53">
        <f t="shared" si="41"/>
        <v>131.55557736777939</v>
      </c>
      <c r="BS57" s="53">
        <f t="shared" si="41"/>
        <v>131.55557736777939</v>
      </c>
      <c r="BT57" s="53">
        <f t="shared" si="41"/>
        <v>131.55557736777939</v>
      </c>
      <c r="BU57" s="53">
        <f t="shared" si="41"/>
        <v>131.55557736777939</v>
      </c>
      <c r="BV57" s="53">
        <f t="shared" si="41"/>
        <v>131.55557736777939</v>
      </c>
      <c r="BW57" s="53">
        <f t="shared" si="41"/>
        <v>131.55557736777939</v>
      </c>
      <c r="BX57" s="53">
        <f t="shared" si="41"/>
        <v>131.55557736777939</v>
      </c>
      <c r="BY57" s="53">
        <f t="shared" si="41"/>
        <v>131.55557736777939</v>
      </c>
      <c r="BZ57" s="53">
        <f t="shared" si="41"/>
        <v>131.55557736777939</v>
      </c>
      <c r="CA57" s="53">
        <f t="shared" si="41"/>
        <v>131.55557736777939</v>
      </c>
      <c r="CB57" s="53">
        <f t="shared" si="41"/>
        <v>0</v>
      </c>
      <c r="CC57" s="53">
        <f t="shared" si="41"/>
        <v>0</v>
      </c>
      <c r="CD57" s="53">
        <f t="shared" si="41"/>
        <v>0</v>
      </c>
      <c r="CE57" s="53">
        <f t="shared" si="41"/>
        <v>0</v>
      </c>
      <c r="CF57" s="53">
        <f t="shared" si="41"/>
        <v>0</v>
      </c>
      <c r="CG57" s="53">
        <f t="shared" si="41"/>
        <v>0</v>
      </c>
      <c r="CH57" s="53">
        <f t="shared" si="41"/>
        <v>0</v>
      </c>
      <c r="CI57" s="53">
        <f t="shared" si="41"/>
        <v>0</v>
      </c>
      <c r="CJ57" s="53">
        <f t="shared" si="41"/>
        <v>0</v>
      </c>
      <c r="CK57" s="53">
        <f t="shared" si="41"/>
        <v>0</v>
      </c>
      <c r="CL57" s="53">
        <f t="shared" si="41"/>
        <v>0</v>
      </c>
      <c r="CM57" s="53">
        <f t="shared" si="41"/>
        <v>0</v>
      </c>
      <c r="CN57" s="53">
        <f t="shared" si="41"/>
        <v>0</v>
      </c>
      <c r="CO57" s="53">
        <f t="shared" si="41"/>
        <v>0</v>
      </c>
      <c r="CP57" s="53">
        <f t="shared" si="41"/>
        <v>0</v>
      </c>
      <c r="CQ57" s="52" t="s">
        <v>230</v>
      </c>
    </row>
    <row r="58" spans="1:95" outlineLevel="1" x14ac:dyDescent="0.25">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2"/>
    </row>
    <row r="59" spans="1:95" ht="15.75" outlineLevel="1" x14ac:dyDescent="0.25">
      <c r="A59" s="56"/>
      <c r="B59" s="56" t="s">
        <v>307</v>
      </c>
      <c r="C59" s="56"/>
      <c r="D59" s="113">
        <f t="shared" ref="D59:BO59" si="42">Total_with_scheme_NOx_emissions-Total_without_scheme_NOx_emissions</f>
        <v>0</v>
      </c>
      <c r="E59" s="113">
        <f t="shared" si="42"/>
        <v>0</v>
      </c>
      <c r="F59" s="113">
        <f t="shared" si="42"/>
        <v>0</v>
      </c>
      <c r="G59" s="113">
        <f t="shared" si="42"/>
        <v>0</v>
      </c>
      <c r="H59" s="113">
        <f t="shared" si="42"/>
        <v>0</v>
      </c>
      <c r="I59" s="113">
        <f t="shared" si="42"/>
        <v>0</v>
      </c>
      <c r="J59" s="113">
        <f t="shared" si="42"/>
        <v>0</v>
      </c>
      <c r="K59" s="113">
        <f t="shared" si="42"/>
        <v>0</v>
      </c>
      <c r="L59" s="113">
        <f t="shared" si="42"/>
        <v>0</v>
      </c>
      <c r="M59" s="113">
        <f t="shared" si="42"/>
        <v>0</v>
      </c>
      <c r="N59" s="113">
        <f t="shared" si="42"/>
        <v>0</v>
      </c>
      <c r="O59" s="113">
        <f t="shared" si="42"/>
        <v>0</v>
      </c>
      <c r="P59" s="113">
        <f t="shared" si="42"/>
        <v>0</v>
      </c>
      <c r="Q59" s="113">
        <f t="shared" si="42"/>
        <v>0</v>
      </c>
      <c r="R59" s="113">
        <f t="shared" si="42"/>
        <v>0</v>
      </c>
      <c r="S59" s="113">
        <f t="shared" si="42"/>
        <v>0</v>
      </c>
      <c r="T59" s="113">
        <f t="shared" si="42"/>
        <v>0.53738699340360085</v>
      </c>
      <c r="U59" s="113">
        <f t="shared" si="42"/>
        <v>0.64017133883984911</v>
      </c>
      <c r="V59" s="113">
        <f t="shared" si="42"/>
        <v>0.74295568427606895</v>
      </c>
      <c r="W59" s="113">
        <f t="shared" si="42"/>
        <v>0.84574002971231721</v>
      </c>
      <c r="X59" s="113">
        <f t="shared" si="42"/>
        <v>0.94852437514856547</v>
      </c>
      <c r="Y59" s="113">
        <f t="shared" si="42"/>
        <v>1.0513087205847569</v>
      </c>
      <c r="Z59" s="113">
        <f t="shared" si="42"/>
        <v>1.1540930660210051</v>
      </c>
      <c r="AA59" s="113">
        <f t="shared" si="42"/>
        <v>1.2568774114572534</v>
      </c>
      <c r="AB59" s="113">
        <f t="shared" si="42"/>
        <v>1.3596617568935017</v>
      </c>
      <c r="AC59" s="113">
        <f t="shared" si="42"/>
        <v>1.4624461023297215</v>
      </c>
      <c r="AD59" s="113">
        <f t="shared" si="42"/>
        <v>1.5652304477659698</v>
      </c>
      <c r="AE59" s="113">
        <f t="shared" si="42"/>
        <v>1.5652304477659698</v>
      </c>
      <c r="AF59" s="113">
        <f t="shared" si="42"/>
        <v>1.5652304477659698</v>
      </c>
      <c r="AG59" s="113">
        <f t="shared" si="42"/>
        <v>1.5652304477659698</v>
      </c>
      <c r="AH59" s="113">
        <f t="shared" si="42"/>
        <v>1.5652304477659698</v>
      </c>
      <c r="AI59" s="113">
        <f t="shared" si="42"/>
        <v>1.5652304477659698</v>
      </c>
      <c r="AJ59" s="113">
        <f t="shared" si="42"/>
        <v>1.5652304477659698</v>
      </c>
      <c r="AK59" s="113">
        <f t="shared" si="42"/>
        <v>1.5652304477659698</v>
      </c>
      <c r="AL59" s="113">
        <f t="shared" si="42"/>
        <v>1.5652304477659698</v>
      </c>
      <c r="AM59" s="113">
        <f t="shared" si="42"/>
        <v>1.5652304477659698</v>
      </c>
      <c r="AN59" s="113">
        <f t="shared" si="42"/>
        <v>1.5652304477659698</v>
      </c>
      <c r="AO59" s="113">
        <f t="shared" si="42"/>
        <v>1.5652304477659698</v>
      </c>
      <c r="AP59" s="113">
        <f t="shared" si="42"/>
        <v>1.5652304477659698</v>
      </c>
      <c r="AQ59" s="113">
        <f t="shared" si="42"/>
        <v>1.5652304477659698</v>
      </c>
      <c r="AR59" s="113">
        <f t="shared" si="42"/>
        <v>1.5652304477659698</v>
      </c>
      <c r="AS59" s="113">
        <f t="shared" si="42"/>
        <v>1.5652304477659698</v>
      </c>
      <c r="AT59" s="113">
        <f t="shared" si="42"/>
        <v>1.5652304477659698</v>
      </c>
      <c r="AU59" s="113">
        <f t="shared" si="42"/>
        <v>1.5652304477659698</v>
      </c>
      <c r="AV59" s="113">
        <f t="shared" si="42"/>
        <v>1.5652304477659698</v>
      </c>
      <c r="AW59" s="113">
        <f t="shared" si="42"/>
        <v>1.5652304477659698</v>
      </c>
      <c r="AX59" s="113">
        <f t="shared" si="42"/>
        <v>1.5652304477659698</v>
      </c>
      <c r="AY59" s="113">
        <f t="shared" si="42"/>
        <v>1.5652304477659698</v>
      </c>
      <c r="AZ59" s="113">
        <f t="shared" si="42"/>
        <v>1.5652304477659698</v>
      </c>
      <c r="BA59" s="113">
        <f t="shared" si="42"/>
        <v>1.5652304477659698</v>
      </c>
      <c r="BB59" s="113">
        <f t="shared" si="42"/>
        <v>1.5652304477659698</v>
      </c>
      <c r="BC59" s="113">
        <f t="shared" si="42"/>
        <v>1.5652304477659698</v>
      </c>
      <c r="BD59" s="113">
        <f t="shared" si="42"/>
        <v>1.5652304477659698</v>
      </c>
      <c r="BE59" s="113">
        <f t="shared" si="42"/>
        <v>1.5652304477659698</v>
      </c>
      <c r="BF59" s="113">
        <f t="shared" si="42"/>
        <v>1.5652304477659698</v>
      </c>
      <c r="BG59" s="113">
        <f t="shared" si="42"/>
        <v>1.5652304477659698</v>
      </c>
      <c r="BH59" s="113">
        <f t="shared" si="42"/>
        <v>1.5652304477659698</v>
      </c>
      <c r="BI59" s="113">
        <f t="shared" si="42"/>
        <v>1.5652304477659698</v>
      </c>
      <c r="BJ59" s="113">
        <f t="shared" si="42"/>
        <v>1.5652304477659698</v>
      </c>
      <c r="BK59" s="113">
        <f t="shared" si="42"/>
        <v>1.5652304477659698</v>
      </c>
      <c r="BL59" s="113">
        <f t="shared" si="42"/>
        <v>1.5652304477659698</v>
      </c>
      <c r="BM59" s="113">
        <f t="shared" si="42"/>
        <v>1.5652304477659698</v>
      </c>
      <c r="BN59" s="113">
        <f t="shared" si="42"/>
        <v>1.5652304477659698</v>
      </c>
      <c r="BO59" s="113">
        <f t="shared" si="42"/>
        <v>1.5652304477659698</v>
      </c>
      <c r="BP59" s="113">
        <f t="shared" ref="BP59:CP59" si="43">Total_with_scheme_NOx_emissions-Total_without_scheme_NOx_emissions</f>
        <v>1.5652304477659698</v>
      </c>
      <c r="BQ59" s="113">
        <f t="shared" si="43"/>
        <v>1.5652304477659698</v>
      </c>
      <c r="BR59" s="113">
        <f t="shared" si="43"/>
        <v>1.5652304477659698</v>
      </c>
      <c r="BS59" s="113">
        <f t="shared" si="43"/>
        <v>1.5652304477659698</v>
      </c>
      <c r="BT59" s="113">
        <f t="shared" si="43"/>
        <v>1.5652304477659698</v>
      </c>
      <c r="BU59" s="113">
        <f t="shared" si="43"/>
        <v>1.5652304477659698</v>
      </c>
      <c r="BV59" s="113">
        <f t="shared" si="43"/>
        <v>1.5652304477659698</v>
      </c>
      <c r="BW59" s="113">
        <f t="shared" si="43"/>
        <v>1.5652304477659698</v>
      </c>
      <c r="BX59" s="113">
        <f t="shared" si="43"/>
        <v>1.5652304477659698</v>
      </c>
      <c r="BY59" s="113">
        <f t="shared" si="43"/>
        <v>1.5652304477659698</v>
      </c>
      <c r="BZ59" s="113">
        <f t="shared" si="43"/>
        <v>1.5652304477659698</v>
      </c>
      <c r="CA59" s="113">
        <f t="shared" si="43"/>
        <v>1.5652304477659698</v>
      </c>
      <c r="CB59" s="113">
        <f t="shared" si="43"/>
        <v>0</v>
      </c>
      <c r="CC59" s="113">
        <f t="shared" si="43"/>
        <v>0</v>
      </c>
      <c r="CD59" s="113">
        <f t="shared" si="43"/>
        <v>0</v>
      </c>
      <c r="CE59" s="113">
        <f t="shared" si="43"/>
        <v>0</v>
      </c>
      <c r="CF59" s="113">
        <f t="shared" si="43"/>
        <v>0</v>
      </c>
      <c r="CG59" s="113">
        <f t="shared" si="43"/>
        <v>0</v>
      </c>
      <c r="CH59" s="113">
        <f t="shared" si="43"/>
        <v>0</v>
      </c>
      <c r="CI59" s="113">
        <f t="shared" si="43"/>
        <v>0</v>
      </c>
      <c r="CJ59" s="113">
        <f t="shared" si="43"/>
        <v>0</v>
      </c>
      <c r="CK59" s="113">
        <f t="shared" si="43"/>
        <v>0</v>
      </c>
      <c r="CL59" s="113">
        <f t="shared" si="43"/>
        <v>0</v>
      </c>
      <c r="CM59" s="113">
        <f t="shared" si="43"/>
        <v>0</v>
      </c>
      <c r="CN59" s="113">
        <f t="shared" si="43"/>
        <v>0</v>
      </c>
      <c r="CO59" s="113">
        <f t="shared" si="43"/>
        <v>0</v>
      </c>
      <c r="CP59" s="113">
        <f t="shared" si="43"/>
        <v>0</v>
      </c>
      <c r="CQ59" s="112" t="s">
        <v>216</v>
      </c>
    </row>
    <row r="60" spans="1:95" outlineLevel="1" x14ac:dyDescent="0.25"/>
    <row r="61" spans="1:95" outlineLevel="1" x14ac:dyDescent="0.25">
      <c r="B61" t="s">
        <v>215</v>
      </c>
      <c r="C61">
        <f>SUM(NOx_emissions_TOTAL_change)</f>
        <v>88.260687866965128</v>
      </c>
      <c r="D61" s="52" t="s">
        <v>214</v>
      </c>
    </row>
    <row r="62" spans="1:95" outlineLevel="1" x14ac:dyDescent="0.25">
      <c r="D62" s="52"/>
    </row>
    <row r="63" spans="1:95" ht="15.75" outlineLevel="1" x14ac:dyDescent="0.25">
      <c r="A63" s="84"/>
      <c r="B63" s="86" t="s">
        <v>296</v>
      </c>
      <c r="C63" s="84"/>
      <c r="D63" s="92"/>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row>
    <row r="64" spans="1:95" outlineLevel="1" x14ac:dyDescent="0.25">
      <c r="D64" s="52"/>
    </row>
    <row r="65" spans="1:95" outlineLevel="1" x14ac:dyDescent="0.25">
      <c r="B65" t="s">
        <v>99</v>
      </c>
      <c r="C65" s="76" t="str">
        <f>Exceedance_method_in</f>
        <v>Custom</v>
      </c>
      <c r="D65" s="52" t="s">
        <v>220</v>
      </c>
    </row>
    <row r="66" spans="1:95" outlineLevel="1" x14ac:dyDescent="0.25">
      <c r="C66" s="76"/>
      <c r="D66" s="52"/>
    </row>
    <row r="67" spans="1:95" outlineLevel="1" x14ac:dyDescent="0.25">
      <c r="B67" t="s">
        <v>297</v>
      </c>
      <c r="C67" s="76">
        <f>(Exceedance_method="Urban")*1</f>
        <v>0</v>
      </c>
      <c r="D67" s="52" t="s">
        <v>298</v>
      </c>
    </row>
    <row r="68" spans="1:95" outlineLevel="1" x14ac:dyDescent="0.25">
      <c r="B68" t="s">
        <v>272</v>
      </c>
      <c r="C68" s="76">
        <f>(Exceedance_method="National")*1</f>
        <v>0</v>
      </c>
      <c r="D68" s="52" t="s">
        <v>299</v>
      </c>
    </row>
    <row r="69" spans="1:95" outlineLevel="1" x14ac:dyDescent="0.25">
      <c r="B69" t="s">
        <v>4</v>
      </c>
      <c r="C69" s="76">
        <f>(Exceedance_method="Rail")*1</f>
        <v>0</v>
      </c>
      <c r="D69" s="52" t="s">
        <v>300</v>
      </c>
    </row>
    <row r="70" spans="1:95" outlineLevel="1" x14ac:dyDescent="0.25">
      <c r="B70" t="s">
        <v>125</v>
      </c>
      <c r="C70" s="76">
        <f>(Exceedance_method="Custom")*1</f>
        <v>1</v>
      </c>
      <c r="D70" s="52" t="s">
        <v>301</v>
      </c>
    </row>
    <row r="71" spans="1:95" outlineLevel="1" x14ac:dyDescent="0.25"/>
    <row r="72" spans="1:95" ht="15.75" outlineLevel="1" x14ac:dyDescent="0.25">
      <c r="A72" s="56"/>
      <c r="B72" s="56" t="s">
        <v>316</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row>
    <row r="73" spans="1:95" ht="15.75" outlineLevel="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row>
    <row r="74" spans="1:95" ht="15.75" outlineLevel="1" x14ac:dyDescent="0.25">
      <c r="A74" s="77"/>
      <c r="B74" s="104" t="s">
        <v>194</v>
      </c>
      <c r="C74" s="77"/>
      <c r="D74" s="124">
        <f t="shared" ref="D74:X74" si="44">Urban_emission_exceedance_in</f>
        <v>0.59946026216033999</v>
      </c>
      <c r="E74" s="124">
        <f t="shared" si="44"/>
        <v>0.55209375488263124</v>
      </c>
      <c r="F74" s="124">
        <f t="shared" si="44"/>
        <v>0.50472724760492271</v>
      </c>
      <c r="G74" s="124">
        <f t="shared" si="44"/>
        <v>0.45736074032721413</v>
      </c>
      <c r="H74" s="124">
        <f t="shared" si="44"/>
        <v>0.40999423304950555</v>
      </c>
      <c r="I74" s="124">
        <f t="shared" si="44"/>
        <v>0.36262772577179708</v>
      </c>
      <c r="J74" s="124">
        <f t="shared" si="44"/>
        <v>0.30525388582690033</v>
      </c>
      <c r="K74" s="124">
        <f t="shared" si="44"/>
        <v>0.24788004588200357</v>
      </c>
      <c r="L74" s="124">
        <f t="shared" si="44"/>
        <v>0.19050620593710682</v>
      </c>
      <c r="M74" s="124">
        <f t="shared" si="44"/>
        <v>0.13313236599221007</v>
      </c>
      <c r="N74" s="124">
        <f t="shared" si="44"/>
        <v>7.5758526047313271E-2</v>
      </c>
      <c r="O74" s="124">
        <f t="shared" si="44"/>
        <v>6.3634906956899384E-2</v>
      </c>
      <c r="P74" s="124">
        <f t="shared" si="44"/>
        <v>5.151128786648549E-2</v>
      </c>
      <c r="Q74" s="124">
        <f t="shared" si="44"/>
        <v>3.9387668776071597E-2</v>
      </c>
      <c r="R74" s="124">
        <f t="shared" si="44"/>
        <v>2.7264049685657703E-2</v>
      </c>
      <c r="S74" s="124">
        <f t="shared" si="44"/>
        <v>1.5140430595243821E-2</v>
      </c>
      <c r="T74" s="124">
        <f t="shared" si="44"/>
        <v>1.2852380063607232E-2</v>
      </c>
      <c r="U74" s="124">
        <f t="shared" si="44"/>
        <v>1.0564329531970642E-2</v>
      </c>
      <c r="V74" s="124">
        <f t="shared" si="44"/>
        <v>8.2762790003340532E-3</v>
      </c>
      <c r="W74" s="124">
        <f t="shared" si="44"/>
        <v>5.9882284686974653E-3</v>
      </c>
      <c r="X74" s="124">
        <f t="shared" si="44"/>
        <v>3.7001779370608775E-3</v>
      </c>
      <c r="Y74" s="125">
        <v>0</v>
      </c>
      <c r="Z74" s="125">
        <v>0</v>
      </c>
      <c r="AA74" s="125">
        <v>0</v>
      </c>
      <c r="AB74" s="125">
        <v>0</v>
      </c>
      <c r="AC74" s="125">
        <v>0</v>
      </c>
      <c r="AD74" s="125">
        <v>0</v>
      </c>
      <c r="AE74" s="125">
        <v>0</v>
      </c>
      <c r="AF74" s="125">
        <v>0</v>
      </c>
      <c r="AG74" s="125">
        <v>0</v>
      </c>
      <c r="AH74" s="125">
        <v>0</v>
      </c>
      <c r="AI74" s="125">
        <v>0</v>
      </c>
      <c r="AJ74" s="125">
        <v>0</v>
      </c>
      <c r="AK74" s="125">
        <v>0</v>
      </c>
      <c r="AL74" s="125">
        <v>0</v>
      </c>
      <c r="AM74" s="125">
        <v>0</v>
      </c>
      <c r="AN74" s="125">
        <v>0</v>
      </c>
      <c r="AO74" s="125">
        <v>0</v>
      </c>
      <c r="AP74" s="125">
        <v>0</v>
      </c>
      <c r="AQ74" s="125">
        <v>0</v>
      </c>
      <c r="AR74" s="125">
        <v>0</v>
      </c>
      <c r="AS74" s="125">
        <v>0</v>
      </c>
      <c r="AT74" s="125">
        <v>0</v>
      </c>
      <c r="AU74" s="125">
        <v>0</v>
      </c>
      <c r="AV74" s="125">
        <v>0</v>
      </c>
      <c r="AW74" s="125">
        <v>0</v>
      </c>
      <c r="AX74" s="125">
        <v>0</v>
      </c>
      <c r="AY74" s="125">
        <v>0</v>
      </c>
      <c r="AZ74" s="125">
        <v>0</v>
      </c>
      <c r="BA74" s="125">
        <v>0</v>
      </c>
      <c r="BB74" s="125">
        <v>0</v>
      </c>
      <c r="BC74" s="125">
        <v>0</v>
      </c>
      <c r="BD74" s="125">
        <v>0</v>
      </c>
      <c r="BE74" s="125">
        <v>0</v>
      </c>
      <c r="BF74" s="125">
        <v>0</v>
      </c>
      <c r="BG74" s="125">
        <v>0</v>
      </c>
      <c r="BH74" s="125">
        <v>0</v>
      </c>
      <c r="BI74" s="125">
        <v>0</v>
      </c>
      <c r="BJ74" s="125">
        <v>0</v>
      </c>
      <c r="BK74" s="125">
        <v>0</v>
      </c>
      <c r="BL74" s="125">
        <v>0</v>
      </c>
      <c r="BM74" s="125">
        <v>0</v>
      </c>
      <c r="BN74" s="125">
        <v>0</v>
      </c>
      <c r="BO74" s="125">
        <v>0</v>
      </c>
      <c r="BP74" s="125">
        <v>0</v>
      </c>
      <c r="BQ74" s="125">
        <v>0</v>
      </c>
      <c r="BR74" s="125">
        <v>0</v>
      </c>
      <c r="BS74" s="125">
        <v>0</v>
      </c>
      <c r="BT74" s="125">
        <v>0</v>
      </c>
      <c r="BU74" s="125">
        <v>0</v>
      </c>
      <c r="BV74" s="125">
        <v>0</v>
      </c>
      <c r="BW74" s="125">
        <v>0</v>
      </c>
      <c r="BX74" s="125">
        <v>0</v>
      </c>
      <c r="BY74" s="125">
        <v>0</v>
      </c>
      <c r="BZ74" s="125">
        <v>0</v>
      </c>
      <c r="CA74" s="125">
        <v>0</v>
      </c>
      <c r="CB74" s="125">
        <v>0</v>
      </c>
      <c r="CC74" s="125">
        <v>0</v>
      </c>
      <c r="CD74" s="125">
        <v>0</v>
      </c>
      <c r="CE74" s="125">
        <v>0</v>
      </c>
      <c r="CF74" s="125">
        <v>0</v>
      </c>
      <c r="CG74" s="125">
        <v>0</v>
      </c>
      <c r="CH74" s="125">
        <v>0</v>
      </c>
      <c r="CI74" s="125">
        <v>0</v>
      </c>
      <c r="CJ74" s="125">
        <v>0</v>
      </c>
      <c r="CK74" s="125">
        <v>0</v>
      </c>
      <c r="CL74" s="125">
        <v>0</v>
      </c>
      <c r="CM74" s="125">
        <v>0</v>
      </c>
      <c r="CN74" s="125">
        <v>0</v>
      </c>
      <c r="CO74" s="125">
        <v>0</v>
      </c>
      <c r="CP74" s="125">
        <v>0</v>
      </c>
      <c r="CQ74" s="87" t="s">
        <v>119</v>
      </c>
    </row>
    <row r="75" spans="1:95" outlineLevel="1" x14ac:dyDescent="0.25">
      <c r="B75" t="s">
        <v>90</v>
      </c>
      <c r="D75" s="53">
        <f>Total_without_scheme_NOx_emissions*Urban_emissions_exceedance*Urban_mask</f>
        <v>0</v>
      </c>
      <c r="E75" s="53">
        <f t="shared" ref="E75:BP75" si="45">Total_without_scheme_NOx_emissions*Urban_emissions_exceedance*Urban_mask</f>
        <v>0</v>
      </c>
      <c r="F75" s="53">
        <f t="shared" si="45"/>
        <v>0</v>
      </c>
      <c r="G75" s="53">
        <f t="shared" si="45"/>
        <v>0</v>
      </c>
      <c r="H75" s="53">
        <f t="shared" si="45"/>
        <v>0</v>
      </c>
      <c r="I75" s="53">
        <f t="shared" si="45"/>
        <v>0</v>
      </c>
      <c r="J75" s="53">
        <f t="shared" si="45"/>
        <v>0</v>
      </c>
      <c r="K75" s="53">
        <f t="shared" si="45"/>
        <v>0</v>
      </c>
      <c r="L75" s="53">
        <f t="shared" si="45"/>
        <v>0</v>
      </c>
      <c r="M75" s="53">
        <f t="shared" si="45"/>
        <v>0</v>
      </c>
      <c r="N75" s="53">
        <f t="shared" si="45"/>
        <v>0</v>
      </c>
      <c r="O75" s="53">
        <f t="shared" si="45"/>
        <v>0</v>
      </c>
      <c r="P75" s="53">
        <f t="shared" si="45"/>
        <v>0</v>
      </c>
      <c r="Q75" s="53">
        <f t="shared" si="45"/>
        <v>0</v>
      </c>
      <c r="R75" s="53">
        <f t="shared" si="45"/>
        <v>0</v>
      </c>
      <c r="S75" s="53">
        <f t="shared" si="45"/>
        <v>0</v>
      </c>
      <c r="T75" s="53">
        <f t="shared" si="45"/>
        <v>0</v>
      </c>
      <c r="U75" s="53">
        <f t="shared" si="45"/>
        <v>0</v>
      </c>
      <c r="V75" s="53">
        <f t="shared" si="45"/>
        <v>0</v>
      </c>
      <c r="W75" s="53">
        <f t="shared" si="45"/>
        <v>0</v>
      </c>
      <c r="X75" s="53">
        <f t="shared" si="45"/>
        <v>0</v>
      </c>
      <c r="Y75" s="53">
        <f t="shared" si="45"/>
        <v>0</v>
      </c>
      <c r="Z75" s="53">
        <f t="shared" si="45"/>
        <v>0</v>
      </c>
      <c r="AA75" s="53">
        <f t="shared" si="45"/>
        <v>0</v>
      </c>
      <c r="AB75" s="53">
        <f t="shared" si="45"/>
        <v>0</v>
      </c>
      <c r="AC75" s="53">
        <f t="shared" si="45"/>
        <v>0</v>
      </c>
      <c r="AD75" s="53">
        <f t="shared" si="45"/>
        <v>0</v>
      </c>
      <c r="AE75" s="53">
        <f t="shared" si="45"/>
        <v>0</v>
      </c>
      <c r="AF75" s="53">
        <f t="shared" si="45"/>
        <v>0</v>
      </c>
      <c r="AG75" s="53">
        <f t="shared" si="45"/>
        <v>0</v>
      </c>
      <c r="AH75" s="53">
        <f t="shared" si="45"/>
        <v>0</v>
      </c>
      <c r="AI75" s="53">
        <f t="shared" si="45"/>
        <v>0</v>
      </c>
      <c r="AJ75" s="53">
        <f t="shared" si="45"/>
        <v>0</v>
      </c>
      <c r="AK75" s="53">
        <f t="shared" si="45"/>
        <v>0</v>
      </c>
      <c r="AL75" s="53">
        <f t="shared" si="45"/>
        <v>0</v>
      </c>
      <c r="AM75" s="53">
        <f t="shared" si="45"/>
        <v>0</v>
      </c>
      <c r="AN75" s="53">
        <f t="shared" si="45"/>
        <v>0</v>
      </c>
      <c r="AO75" s="53">
        <f t="shared" si="45"/>
        <v>0</v>
      </c>
      <c r="AP75" s="53">
        <f t="shared" si="45"/>
        <v>0</v>
      </c>
      <c r="AQ75" s="53">
        <f t="shared" si="45"/>
        <v>0</v>
      </c>
      <c r="AR75" s="53">
        <f t="shared" si="45"/>
        <v>0</v>
      </c>
      <c r="AS75" s="53">
        <f t="shared" si="45"/>
        <v>0</v>
      </c>
      <c r="AT75" s="53">
        <f t="shared" si="45"/>
        <v>0</v>
      </c>
      <c r="AU75" s="53">
        <f t="shared" si="45"/>
        <v>0</v>
      </c>
      <c r="AV75" s="53">
        <f t="shared" si="45"/>
        <v>0</v>
      </c>
      <c r="AW75" s="53">
        <f t="shared" si="45"/>
        <v>0</v>
      </c>
      <c r="AX75" s="53">
        <f t="shared" si="45"/>
        <v>0</v>
      </c>
      <c r="AY75" s="53">
        <f t="shared" si="45"/>
        <v>0</v>
      </c>
      <c r="AZ75" s="53">
        <f t="shared" si="45"/>
        <v>0</v>
      </c>
      <c r="BA75" s="53">
        <f t="shared" si="45"/>
        <v>0</v>
      </c>
      <c r="BB75" s="53">
        <f t="shared" si="45"/>
        <v>0</v>
      </c>
      <c r="BC75" s="53">
        <f t="shared" si="45"/>
        <v>0</v>
      </c>
      <c r="BD75" s="53">
        <f t="shared" si="45"/>
        <v>0</v>
      </c>
      <c r="BE75" s="53">
        <f t="shared" si="45"/>
        <v>0</v>
      </c>
      <c r="BF75" s="53">
        <f t="shared" si="45"/>
        <v>0</v>
      </c>
      <c r="BG75" s="53">
        <f t="shared" si="45"/>
        <v>0</v>
      </c>
      <c r="BH75" s="53">
        <f t="shared" si="45"/>
        <v>0</v>
      </c>
      <c r="BI75" s="53">
        <f t="shared" si="45"/>
        <v>0</v>
      </c>
      <c r="BJ75" s="53">
        <f t="shared" si="45"/>
        <v>0</v>
      </c>
      <c r="BK75" s="53">
        <f t="shared" si="45"/>
        <v>0</v>
      </c>
      <c r="BL75" s="53">
        <f t="shared" si="45"/>
        <v>0</v>
      </c>
      <c r="BM75" s="53">
        <f t="shared" si="45"/>
        <v>0</v>
      </c>
      <c r="BN75" s="53">
        <f t="shared" si="45"/>
        <v>0</v>
      </c>
      <c r="BO75" s="53">
        <f t="shared" si="45"/>
        <v>0</v>
      </c>
      <c r="BP75" s="53">
        <f t="shared" si="45"/>
        <v>0</v>
      </c>
      <c r="BQ75" s="53">
        <f t="shared" ref="BQ75:CP75" si="46">Total_without_scheme_NOx_emissions*Urban_emissions_exceedance*Urban_mask</f>
        <v>0</v>
      </c>
      <c r="BR75" s="53">
        <f t="shared" si="46"/>
        <v>0</v>
      </c>
      <c r="BS75" s="53">
        <f t="shared" si="46"/>
        <v>0</v>
      </c>
      <c r="BT75" s="53">
        <f t="shared" si="46"/>
        <v>0</v>
      </c>
      <c r="BU75" s="53">
        <f t="shared" si="46"/>
        <v>0</v>
      </c>
      <c r="BV75" s="53">
        <f t="shared" si="46"/>
        <v>0</v>
      </c>
      <c r="BW75" s="53">
        <f t="shared" si="46"/>
        <v>0</v>
      </c>
      <c r="BX75" s="53">
        <f t="shared" si="46"/>
        <v>0</v>
      </c>
      <c r="BY75" s="53">
        <f t="shared" si="46"/>
        <v>0</v>
      </c>
      <c r="BZ75" s="53">
        <f t="shared" si="46"/>
        <v>0</v>
      </c>
      <c r="CA75" s="53">
        <f t="shared" si="46"/>
        <v>0</v>
      </c>
      <c r="CB75" s="53">
        <f t="shared" si="46"/>
        <v>0</v>
      </c>
      <c r="CC75" s="53">
        <f t="shared" si="46"/>
        <v>0</v>
      </c>
      <c r="CD75" s="53">
        <f t="shared" si="46"/>
        <v>0</v>
      </c>
      <c r="CE75" s="53">
        <f t="shared" si="46"/>
        <v>0</v>
      </c>
      <c r="CF75" s="53">
        <f t="shared" si="46"/>
        <v>0</v>
      </c>
      <c r="CG75" s="53">
        <f t="shared" si="46"/>
        <v>0</v>
      </c>
      <c r="CH75" s="53">
        <f t="shared" si="46"/>
        <v>0</v>
      </c>
      <c r="CI75" s="53">
        <f t="shared" si="46"/>
        <v>0</v>
      </c>
      <c r="CJ75" s="53">
        <f t="shared" si="46"/>
        <v>0</v>
      </c>
      <c r="CK75" s="53">
        <f t="shared" si="46"/>
        <v>0</v>
      </c>
      <c r="CL75" s="53">
        <f t="shared" si="46"/>
        <v>0</v>
      </c>
      <c r="CM75" s="53">
        <f t="shared" si="46"/>
        <v>0</v>
      </c>
      <c r="CN75" s="53">
        <f t="shared" si="46"/>
        <v>0</v>
      </c>
      <c r="CO75" s="53">
        <f t="shared" si="46"/>
        <v>0</v>
      </c>
      <c r="CP75" s="53">
        <f t="shared" si="46"/>
        <v>0</v>
      </c>
      <c r="CQ75" s="52" t="s">
        <v>117</v>
      </c>
    </row>
    <row r="76" spans="1:95" outlineLevel="1" x14ac:dyDescent="0.25">
      <c r="B76" t="s">
        <v>91</v>
      </c>
      <c r="D76" s="53">
        <f t="shared" ref="D76:BO76" si="47">Total_with_scheme_NOx_emissions*Urban_emissions_exceedance*Urban_mask</f>
        <v>0</v>
      </c>
      <c r="E76" s="53">
        <f t="shared" si="47"/>
        <v>0</v>
      </c>
      <c r="F76" s="53">
        <f t="shared" si="47"/>
        <v>0</v>
      </c>
      <c r="G76" s="53">
        <f t="shared" si="47"/>
        <v>0</v>
      </c>
      <c r="H76" s="53">
        <f t="shared" si="47"/>
        <v>0</v>
      </c>
      <c r="I76" s="53">
        <f t="shared" si="47"/>
        <v>0</v>
      </c>
      <c r="J76" s="53">
        <f t="shared" si="47"/>
        <v>0</v>
      </c>
      <c r="K76" s="53">
        <f t="shared" si="47"/>
        <v>0</v>
      </c>
      <c r="L76" s="53">
        <f>Total_with_scheme_NOx_emissions*Urban_emissions_exceedance*Urban_mask</f>
        <v>0</v>
      </c>
      <c r="M76" s="53">
        <f t="shared" si="47"/>
        <v>0</v>
      </c>
      <c r="N76" s="53">
        <f t="shared" si="47"/>
        <v>0</v>
      </c>
      <c r="O76" s="53">
        <f t="shared" si="47"/>
        <v>0</v>
      </c>
      <c r="P76" s="53">
        <f t="shared" si="47"/>
        <v>0</v>
      </c>
      <c r="Q76" s="53">
        <f t="shared" si="47"/>
        <v>0</v>
      </c>
      <c r="R76" s="53">
        <f t="shared" si="47"/>
        <v>0</v>
      </c>
      <c r="S76" s="53">
        <f t="shared" si="47"/>
        <v>0</v>
      </c>
      <c r="T76" s="53">
        <f t="shared" si="47"/>
        <v>0</v>
      </c>
      <c r="U76" s="53">
        <f t="shared" si="47"/>
        <v>0</v>
      </c>
      <c r="V76" s="53">
        <f t="shared" si="47"/>
        <v>0</v>
      </c>
      <c r="W76" s="53">
        <f t="shared" si="47"/>
        <v>0</v>
      </c>
      <c r="X76" s="53">
        <f t="shared" si="47"/>
        <v>0</v>
      </c>
      <c r="Y76" s="53">
        <f t="shared" si="47"/>
        <v>0</v>
      </c>
      <c r="Z76" s="53">
        <f t="shared" si="47"/>
        <v>0</v>
      </c>
      <c r="AA76" s="53">
        <f t="shared" si="47"/>
        <v>0</v>
      </c>
      <c r="AB76" s="53">
        <f t="shared" si="47"/>
        <v>0</v>
      </c>
      <c r="AC76" s="53">
        <f t="shared" si="47"/>
        <v>0</v>
      </c>
      <c r="AD76" s="53">
        <f t="shared" si="47"/>
        <v>0</v>
      </c>
      <c r="AE76" s="53">
        <f t="shared" si="47"/>
        <v>0</v>
      </c>
      <c r="AF76" s="53">
        <f t="shared" si="47"/>
        <v>0</v>
      </c>
      <c r="AG76" s="53">
        <f t="shared" si="47"/>
        <v>0</v>
      </c>
      <c r="AH76" s="53">
        <f t="shared" si="47"/>
        <v>0</v>
      </c>
      <c r="AI76" s="53">
        <f t="shared" si="47"/>
        <v>0</v>
      </c>
      <c r="AJ76" s="53">
        <f t="shared" si="47"/>
        <v>0</v>
      </c>
      <c r="AK76" s="53">
        <f t="shared" si="47"/>
        <v>0</v>
      </c>
      <c r="AL76" s="53">
        <f t="shared" si="47"/>
        <v>0</v>
      </c>
      <c r="AM76" s="53">
        <f t="shared" si="47"/>
        <v>0</v>
      </c>
      <c r="AN76" s="53">
        <f t="shared" si="47"/>
        <v>0</v>
      </c>
      <c r="AO76" s="53">
        <f t="shared" si="47"/>
        <v>0</v>
      </c>
      <c r="AP76" s="53">
        <f t="shared" si="47"/>
        <v>0</v>
      </c>
      <c r="AQ76" s="53">
        <f t="shared" si="47"/>
        <v>0</v>
      </c>
      <c r="AR76" s="53">
        <f t="shared" si="47"/>
        <v>0</v>
      </c>
      <c r="AS76" s="53">
        <f t="shared" si="47"/>
        <v>0</v>
      </c>
      <c r="AT76" s="53">
        <f t="shared" si="47"/>
        <v>0</v>
      </c>
      <c r="AU76" s="53">
        <f t="shared" si="47"/>
        <v>0</v>
      </c>
      <c r="AV76" s="53">
        <f t="shared" si="47"/>
        <v>0</v>
      </c>
      <c r="AW76" s="53">
        <f t="shared" si="47"/>
        <v>0</v>
      </c>
      <c r="AX76" s="53">
        <f t="shared" si="47"/>
        <v>0</v>
      </c>
      <c r="AY76" s="53">
        <f t="shared" si="47"/>
        <v>0</v>
      </c>
      <c r="AZ76" s="53">
        <f t="shared" si="47"/>
        <v>0</v>
      </c>
      <c r="BA76" s="53">
        <f t="shared" si="47"/>
        <v>0</v>
      </c>
      <c r="BB76" s="53">
        <f t="shared" si="47"/>
        <v>0</v>
      </c>
      <c r="BC76" s="53">
        <f t="shared" si="47"/>
        <v>0</v>
      </c>
      <c r="BD76" s="53">
        <f t="shared" si="47"/>
        <v>0</v>
      </c>
      <c r="BE76" s="53">
        <f t="shared" si="47"/>
        <v>0</v>
      </c>
      <c r="BF76" s="53">
        <f t="shared" si="47"/>
        <v>0</v>
      </c>
      <c r="BG76" s="53">
        <f t="shared" si="47"/>
        <v>0</v>
      </c>
      <c r="BH76" s="53">
        <f t="shared" si="47"/>
        <v>0</v>
      </c>
      <c r="BI76" s="53">
        <f t="shared" si="47"/>
        <v>0</v>
      </c>
      <c r="BJ76" s="53">
        <f t="shared" si="47"/>
        <v>0</v>
      </c>
      <c r="BK76" s="53">
        <f t="shared" si="47"/>
        <v>0</v>
      </c>
      <c r="BL76" s="53">
        <f t="shared" si="47"/>
        <v>0</v>
      </c>
      <c r="BM76" s="53">
        <f t="shared" si="47"/>
        <v>0</v>
      </c>
      <c r="BN76" s="53">
        <f t="shared" si="47"/>
        <v>0</v>
      </c>
      <c r="BO76" s="53">
        <f t="shared" si="47"/>
        <v>0</v>
      </c>
      <c r="BP76" s="53">
        <f t="shared" ref="BP76:CP76" si="48">Total_with_scheme_NOx_emissions*Urban_emissions_exceedance*Urban_mask</f>
        <v>0</v>
      </c>
      <c r="BQ76" s="53">
        <f t="shared" si="48"/>
        <v>0</v>
      </c>
      <c r="BR76" s="53">
        <f t="shared" si="48"/>
        <v>0</v>
      </c>
      <c r="BS76" s="53">
        <f t="shared" si="48"/>
        <v>0</v>
      </c>
      <c r="BT76" s="53">
        <f t="shared" si="48"/>
        <v>0</v>
      </c>
      <c r="BU76" s="53">
        <f t="shared" si="48"/>
        <v>0</v>
      </c>
      <c r="BV76" s="53">
        <f t="shared" si="48"/>
        <v>0</v>
      </c>
      <c r="BW76" s="53">
        <f t="shared" si="48"/>
        <v>0</v>
      </c>
      <c r="BX76" s="53">
        <f t="shared" si="48"/>
        <v>0</v>
      </c>
      <c r="BY76" s="53">
        <f t="shared" si="48"/>
        <v>0</v>
      </c>
      <c r="BZ76" s="53">
        <f t="shared" si="48"/>
        <v>0</v>
      </c>
      <c r="CA76" s="53">
        <f t="shared" si="48"/>
        <v>0</v>
      </c>
      <c r="CB76" s="53">
        <f t="shared" si="48"/>
        <v>0</v>
      </c>
      <c r="CC76" s="53">
        <f t="shared" si="48"/>
        <v>0</v>
      </c>
      <c r="CD76" s="53">
        <f t="shared" si="48"/>
        <v>0</v>
      </c>
      <c r="CE76" s="53">
        <f t="shared" si="48"/>
        <v>0</v>
      </c>
      <c r="CF76" s="53">
        <f t="shared" si="48"/>
        <v>0</v>
      </c>
      <c r="CG76" s="53">
        <f t="shared" si="48"/>
        <v>0</v>
      </c>
      <c r="CH76" s="53">
        <f t="shared" si="48"/>
        <v>0</v>
      </c>
      <c r="CI76" s="53">
        <f t="shared" si="48"/>
        <v>0</v>
      </c>
      <c r="CJ76" s="53">
        <f t="shared" si="48"/>
        <v>0</v>
      </c>
      <c r="CK76" s="53">
        <f t="shared" si="48"/>
        <v>0</v>
      </c>
      <c r="CL76" s="53">
        <f t="shared" si="48"/>
        <v>0</v>
      </c>
      <c r="CM76" s="53">
        <f t="shared" si="48"/>
        <v>0</v>
      </c>
      <c r="CN76" s="53">
        <f t="shared" si="48"/>
        <v>0</v>
      </c>
      <c r="CO76" s="53">
        <f t="shared" si="48"/>
        <v>0</v>
      </c>
      <c r="CP76" s="53">
        <f t="shared" si="48"/>
        <v>0</v>
      </c>
      <c r="CQ76" s="52" t="s">
        <v>118</v>
      </c>
    </row>
    <row r="77" spans="1:95" outlineLevel="1" x14ac:dyDescent="0.25">
      <c r="B77" t="s">
        <v>174</v>
      </c>
      <c r="D77" s="53">
        <f t="shared" ref="D77:BO77" si="49">Urban_with_scheme_emissions-Urban_without_scheme_emissions</f>
        <v>0</v>
      </c>
      <c r="E77" s="53">
        <f t="shared" si="49"/>
        <v>0</v>
      </c>
      <c r="F77" s="53">
        <f t="shared" si="49"/>
        <v>0</v>
      </c>
      <c r="G77" s="53">
        <f t="shared" si="49"/>
        <v>0</v>
      </c>
      <c r="H77" s="53">
        <f t="shared" si="49"/>
        <v>0</v>
      </c>
      <c r="I77" s="53">
        <f t="shared" si="49"/>
        <v>0</v>
      </c>
      <c r="J77" s="53">
        <f t="shared" si="49"/>
        <v>0</v>
      </c>
      <c r="K77" s="53">
        <f t="shared" si="49"/>
        <v>0</v>
      </c>
      <c r="L77" s="53">
        <f t="shared" si="49"/>
        <v>0</v>
      </c>
      <c r="M77" s="53">
        <f t="shared" si="49"/>
        <v>0</v>
      </c>
      <c r="N77" s="53">
        <f t="shared" si="49"/>
        <v>0</v>
      </c>
      <c r="O77" s="53">
        <f t="shared" si="49"/>
        <v>0</v>
      </c>
      <c r="P77" s="53">
        <f t="shared" si="49"/>
        <v>0</v>
      </c>
      <c r="Q77" s="53">
        <f t="shared" si="49"/>
        <v>0</v>
      </c>
      <c r="R77" s="53">
        <f t="shared" si="49"/>
        <v>0</v>
      </c>
      <c r="S77" s="53">
        <f t="shared" si="49"/>
        <v>0</v>
      </c>
      <c r="T77" s="53">
        <f t="shared" si="49"/>
        <v>0</v>
      </c>
      <c r="U77" s="53">
        <f t="shared" si="49"/>
        <v>0</v>
      </c>
      <c r="V77" s="53">
        <f t="shared" si="49"/>
        <v>0</v>
      </c>
      <c r="W77" s="53">
        <f t="shared" si="49"/>
        <v>0</v>
      </c>
      <c r="X77" s="53">
        <f t="shared" si="49"/>
        <v>0</v>
      </c>
      <c r="Y77" s="53">
        <f t="shared" si="49"/>
        <v>0</v>
      </c>
      <c r="Z77" s="53">
        <f t="shared" si="49"/>
        <v>0</v>
      </c>
      <c r="AA77" s="53">
        <f t="shared" si="49"/>
        <v>0</v>
      </c>
      <c r="AB77" s="53">
        <f t="shared" si="49"/>
        <v>0</v>
      </c>
      <c r="AC77" s="53">
        <f t="shared" si="49"/>
        <v>0</v>
      </c>
      <c r="AD77" s="53">
        <f t="shared" si="49"/>
        <v>0</v>
      </c>
      <c r="AE77" s="53">
        <f t="shared" si="49"/>
        <v>0</v>
      </c>
      <c r="AF77" s="53">
        <f t="shared" si="49"/>
        <v>0</v>
      </c>
      <c r="AG77" s="53">
        <f t="shared" si="49"/>
        <v>0</v>
      </c>
      <c r="AH77" s="53">
        <f t="shared" si="49"/>
        <v>0</v>
      </c>
      <c r="AI77" s="53">
        <f t="shared" si="49"/>
        <v>0</v>
      </c>
      <c r="AJ77" s="53">
        <f t="shared" si="49"/>
        <v>0</v>
      </c>
      <c r="AK77" s="53">
        <f t="shared" si="49"/>
        <v>0</v>
      </c>
      <c r="AL77" s="53">
        <f t="shared" si="49"/>
        <v>0</v>
      </c>
      <c r="AM77" s="53">
        <f t="shared" si="49"/>
        <v>0</v>
      </c>
      <c r="AN77" s="53">
        <f t="shared" si="49"/>
        <v>0</v>
      </c>
      <c r="AO77" s="53">
        <f t="shared" si="49"/>
        <v>0</v>
      </c>
      <c r="AP77" s="53">
        <f t="shared" si="49"/>
        <v>0</v>
      </c>
      <c r="AQ77" s="53">
        <f t="shared" si="49"/>
        <v>0</v>
      </c>
      <c r="AR77" s="53">
        <f t="shared" si="49"/>
        <v>0</v>
      </c>
      <c r="AS77" s="53">
        <f t="shared" si="49"/>
        <v>0</v>
      </c>
      <c r="AT77" s="53">
        <f t="shared" si="49"/>
        <v>0</v>
      </c>
      <c r="AU77" s="53">
        <f t="shared" si="49"/>
        <v>0</v>
      </c>
      <c r="AV77" s="53">
        <f t="shared" si="49"/>
        <v>0</v>
      </c>
      <c r="AW77" s="53">
        <f t="shared" si="49"/>
        <v>0</v>
      </c>
      <c r="AX77" s="53">
        <f t="shared" si="49"/>
        <v>0</v>
      </c>
      <c r="AY77" s="53">
        <f t="shared" si="49"/>
        <v>0</v>
      </c>
      <c r="AZ77" s="53">
        <f t="shared" si="49"/>
        <v>0</v>
      </c>
      <c r="BA77" s="53">
        <f t="shared" si="49"/>
        <v>0</v>
      </c>
      <c r="BB77" s="53">
        <f t="shared" si="49"/>
        <v>0</v>
      </c>
      <c r="BC77" s="53">
        <f t="shared" si="49"/>
        <v>0</v>
      </c>
      <c r="BD77" s="53">
        <f t="shared" si="49"/>
        <v>0</v>
      </c>
      <c r="BE77" s="53">
        <f t="shared" si="49"/>
        <v>0</v>
      </c>
      <c r="BF77" s="53">
        <f t="shared" si="49"/>
        <v>0</v>
      </c>
      <c r="BG77" s="53">
        <f t="shared" si="49"/>
        <v>0</v>
      </c>
      <c r="BH77" s="53">
        <f t="shared" si="49"/>
        <v>0</v>
      </c>
      <c r="BI77" s="53">
        <f t="shared" si="49"/>
        <v>0</v>
      </c>
      <c r="BJ77" s="53">
        <f t="shared" si="49"/>
        <v>0</v>
      </c>
      <c r="BK77" s="53">
        <f t="shared" si="49"/>
        <v>0</v>
      </c>
      <c r="BL77" s="53">
        <f t="shared" si="49"/>
        <v>0</v>
      </c>
      <c r="BM77" s="53">
        <f t="shared" si="49"/>
        <v>0</v>
      </c>
      <c r="BN77" s="53">
        <f t="shared" si="49"/>
        <v>0</v>
      </c>
      <c r="BO77" s="53">
        <f t="shared" si="49"/>
        <v>0</v>
      </c>
      <c r="BP77" s="53">
        <f t="shared" ref="BP77:CP77" si="50">Urban_with_scheme_emissions-Urban_without_scheme_emissions</f>
        <v>0</v>
      </c>
      <c r="BQ77" s="53">
        <f t="shared" si="50"/>
        <v>0</v>
      </c>
      <c r="BR77" s="53">
        <f t="shared" si="50"/>
        <v>0</v>
      </c>
      <c r="BS77" s="53">
        <f t="shared" si="50"/>
        <v>0</v>
      </c>
      <c r="BT77" s="53">
        <f t="shared" si="50"/>
        <v>0</v>
      </c>
      <c r="BU77" s="53">
        <f t="shared" si="50"/>
        <v>0</v>
      </c>
      <c r="BV77" s="53">
        <f t="shared" si="50"/>
        <v>0</v>
      </c>
      <c r="BW77" s="53">
        <f t="shared" si="50"/>
        <v>0</v>
      </c>
      <c r="BX77" s="53">
        <f t="shared" si="50"/>
        <v>0</v>
      </c>
      <c r="BY77" s="53">
        <f t="shared" si="50"/>
        <v>0</v>
      </c>
      <c r="BZ77" s="53">
        <f t="shared" si="50"/>
        <v>0</v>
      </c>
      <c r="CA77" s="53">
        <f t="shared" si="50"/>
        <v>0</v>
      </c>
      <c r="CB77" s="53">
        <f t="shared" si="50"/>
        <v>0</v>
      </c>
      <c r="CC77" s="53">
        <f t="shared" si="50"/>
        <v>0</v>
      </c>
      <c r="CD77" s="53">
        <f t="shared" si="50"/>
        <v>0</v>
      </c>
      <c r="CE77" s="53">
        <f t="shared" si="50"/>
        <v>0</v>
      </c>
      <c r="CF77" s="53">
        <f t="shared" si="50"/>
        <v>0</v>
      </c>
      <c r="CG77" s="53">
        <f t="shared" si="50"/>
        <v>0</v>
      </c>
      <c r="CH77" s="53">
        <f t="shared" si="50"/>
        <v>0</v>
      </c>
      <c r="CI77" s="53">
        <f t="shared" si="50"/>
        <v>0</v>
      </c>
      <c r="CJ77" s="53">
        <f t="shared" si="50"/>
        <v>0</v>
      </c>
      <c r="CK77" s="53">
        <f t="shared" si="50"/>
        <v>0</v>
      </c>
      <c r="CL77" s="53">
        <f t="shared" si="50"/>
        <v>0</v>
      </c>
      <c r="CM77" s="53">
        <f t="shared" si="50"/>
        <v>0</v>
      </c>
      <c r="CN77" s="53">
        <f t="shared" si="50"/>
        <v>0</v>
      </c>
      <c r="CO77" s="53">
        <f t="shared" si="50"/>
        <v>0</v>
      </c>
      <c r="CP77" s="53">
        <f t="shared" si="50"/>
        <v>0</v>
      </c>
      <c r="CQ77" s="52" t="s">
        <v>170</v>
      </c>
    </row>
    <row r="78" spans="1:95" outlineLevel="1" x14ac:dyDescent="0.25">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row>
    <row r="79" spans="1:95" ht="15.75" outlineLevel="1" x14ac:dyDescent="0.25">
      <c r="A79" s="84"/>
      <c r="B79" s="86" t="s">
        <v>317</v>
      </c>
      <c r="C79" s="84"/>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4"/>
    </row>
    <row r="80" spans="1:95" ht="15.75" outlineLevel="1" x14ac:dyDescent="0.25">
      <c r="A80" s="78"/>
      <c r="B80" s="102"/>
      <c r="C80" s="78"/>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78"/>
    </row>
    <row r="81" spans="1:95" ht="15.75" outlineLevel="1" x14ac:dyDescent="0.25">
      <c r="B81" s="104" t="s">
        <v>195</v>
      </c>
      <c r="D81" s="124">
        <f t="shared" ref="D81:X81" si="51">National_emissions_exceedance_in</f>
        <v>0.17082474395269895</v>
      </c>
      <c r="E81" s="124">
        <f t="shared" si="51"/>
        <v>0.1598966536161622</v>
      </c>
      <c r="F81" s="124">
        <f t="shared" si="51"/>
        <v>0.14896856327962546</v>
      </c>
      <c r="G81" s="124">
        <f t="shared" si="51"/>
        <v>0.13804047294308872</v>
      </c>
      <c r="H81" s="124">
        <f t="shared" si="51"/>
        <v>0.12711238260655197</v>
      </c>
      <c r="I81" s="124">
        <f t="shared" si="51"/>
        <v>0.11618429227001519</v>
      </c>
      <c r="J81" s="124">
        <f t="shared" si="51"/>
        <v>9.7898830590805785E-2</v>
      </c>
      <c r="K81" s="124">
        <f t="shared" si="51"/>
        <v>7.9613368911596372E-2</v>
      </c>
      <c r="L81" s="124">
        <f t="shared" si="51"/>
        <v>6.1327907232386958E-2</v>
      </c>
      <c r="M81" s="124">
        <f t="shared" si="51"/>
        <v>4.3042445553177544E-2</v>
      </c>
      <c r="N81" s="124">
        <f t="shared" si="51"/>
        <v>2.4756983873968123E-2</v>
      </c>
      <c r="O81" s="124">
        <f t="shared" si="51"/>
        <v>2.0754795508028723E-2</v>
      </c>
      <c r="P81" s="124">
        <f t="shared" si="51"/>
        <v>1.6752607142089319E-2</v>
      </c>
      <c r="Q81" s="124">
        <f t="shared" si="51"/>
        <v>1.2750418776149916E-2</v>
      </c>
      <c r="R81" s="124">
        <f t="shared" si="51"/>
        <v>8.7482304102105141E-3</v>
      </c>
      <c r="S81" s="124">
        <f t="shared" si="51"/>
        <v>4.7460420442711117E-3</v>
      </c>
      <c r="T81" s="124">
        <f t="shared" si="51"/>
        <v>4.0194435836057437E-3</v>
      </c>
      <c r="U81" s="124">
        <f t="shared" si="51"/>
        <v>3.2928451229403753E-3</v>
      </c>
      <c r="V81" s="124">
        <f t="shared" si="51"/>
        <v>2.5662466622750073E-3</v>
      </c>
      <c r="W81" s="124">
        <f t="shared" si="51"/>
        <v>1.8396482016096393E-3</v>
      </c>
      <c r="X81" s="124">
        <f t="shared" si="51"/>
        <v>1.1130497409442722E-3</v>
      </c>
      <c r="Y81" s="124">
        <v>0</v>
      </c>
      <c r="Z81" s="124">
        <v>0</v>
      </c>
      <c r="AA81" s="124">
        <v>0</v>
      </c>
      <c r="AB81" s="124">
        <v>0</v>
      </c>
      <c r="AC81" s="124">
        <v>0</v>
      </c>
      <c r="AD81" s="124">
        <v>0</v>
      </c>
      <c r="AE81" s="124">
        <v>0</v>
      </c>
      <c r="AF81" s="124">
        <v>0</v>
      </c>
      <c r="AG81" s="124">
        <v>0</v>
      </c>
      <c r="AH81" s="124">
        <v>0</v>
      </c>
      <c r="AI81" s="124">
        <v>0</v>
      </c>
      <c r="AJ81" s="124">
        <v>0</v>
      </c>
      <c r="AK81" s="124">
        <v>0</v>
      </c>
      <c r="AL81" s="124">
        <v>0</v>
      </c>
      <c r="AM81" s="124">
        <v>0</v>
      </c>
      <c r="AN81" s="124">
        <v>0</v>
      </c>
      <c r="AO81" s="124">
        <v>0</v>
      </c>
      <c r="AP81" s="124">
        <v>0</v>
      </c>
      <c r="AQ81" s="124">
        <v>0</v>
      </c>
      <c r="AR81" s="124">
        <v>0</v>
      </c>
      <c r="AS81" s="124">
        <v>0</v>
      </c>
      <c r="AT81" s="124">
        <v>0</v>
      </c>
      <c r="AU81" s="124">
        <v>0</v>
      </c>
      <c r="AV81" s="124">
        <v>0</v>
      </c>
      <c r="AW81" s="124">
        <v>0</v>
      </c>
      <c r="AX81" s="124">
        <v>0</v>
      </c>
      <c r="AY81" s="124">
        <v>0</v>
      </c>
      <c r="AZ81" s="124">
        <v>0</v>
      </c>
      <c r="BA81" s="124">
        <v>0</v>
      </c>
      <c r="BB81" s="124">
        <v>0</v>
      </c>
      <c r="BC81" s="124">
        <v>0</v>
      </c>
      <c r="BD81" s="124">
        <v>0</v>
      </c>
      <c r="BE81" s="124">
        <v>0</v>
      </c>
      <c r="BF81" s="124">
        <v>0</v>
      </c>
      <c r="BG81" s="124">
        <v>0</v>
      </c>
      <c r="BH81" s="124">
        <v>0</v>
      </c>
      <c r="BI81" s="124">
        <v>0</v>
      </c>
      <c r="BJ81" s="124">
        <v>0</v>
      </c>
      <c r="BK81" s="124">
        <v>0</v>
      </c>
      <c r="BL81" s="124">
        <v>0</v>
      </c>
      <c r="BM81" s="124">
        <v>0</v>
      </c>
      <c r="BN81" s="124">
        <v>0</v>
      </c>
      <c r="BO81" s="124">
        <v>0</v>
      </c>
      <c r="BP81" s="124">
        <v>0</v>
      </c>
      <c r="BQ81" s="124">
        <v>0</v>
      </c>
      <c r="BR81" s="124">
        <v>0</v>
      </c>
      <c r="BS81" s="124">
        <v>0</v>
      </c>
      <c r="BT81" s="124">
        <v>0</v>
      </c>
      <c r="BU81" s="124">
        <v>0</v>
      </c>
      <c r="BV81" s="124">
        <v>0</v>
      </c>
      <c r="BW81" s="124">
        <v>0</v>
      </c>
      <c r="BX81" s="124">
        <v>0</v>
      </c>
      <c r="BY81" s="124">
        <v>0</v>
      </c>
      <c r="BZ81" s="124">
        <v>0</v>
      </c>
      <c r="CA81" s="124">
        <v>0</v>
      </c>
      <c r="CB81" s="124">
        <v>0</v>
      </c>
      <c r="CC81" s="124">
        <v>0</v>
      </c>
      <c r="CD81" s="124">
        <v>0</v>
      </c>
      <c r="CE81" s="124">
        <v>0</v>
      </c>
      <c r="CF81" s="124">
        <v>0</v>
      </c>
      <c r="CG81" s="124">
        <v>0</v>
      </c>
      <c r="CH81" s="124">
        <v>0</v>
      </c>
      <c r="CI81" s="124">
        <v>0</v>
      </c>
      <c r="CJ81" s="124">
        <v>0</v>
      </c>
      <c r="CK81" s="124">
        <v>0</v>
      </c>
      <c r="CL81" s="124">
        <v>0</v>
      </c>
      <c r="CM81" s="124">
        <v>0</v>
      </c>
      <c r="CN81" s="124">
        <v>0</v>
      </c>
      <c r="CO81" s="124">
        <v>0</v>
      </c>
      <c r="CP81" s="124">
        <v>0</v>
      </c>
      <c r="CQ81" s="52" t="s">
        <v>120</v>
      </c>
    </row>
    <row r="82" spans="1:95" outlineLevel="1" x14ac:dyDescent="0.25">
      <c r="B82" t="s">
        <v>93</v>
      </c>
      <c r="D82" s="105">
        <f t="shared" ref="D82:BO82" si="52">Total_without_scheme_NOx_emissions*National_emissions_exceedance*National_mask</f>
        <v>0</v>
      </c>
      <c r="E82" s="105">
        <f t="shared" si="52"/>
        <v>0</v>
      </c>
      <c r="F82" s="105">
        <f t="shared" si="52"/>
        <v>0</v>
      </c>
      <c r="G82" s="105">
        <f t="shared" si="52"/>
        <v>0</v>
      </c>
      <c r="H82" s="105">
        <f t="shared" si="52"/>
        <v>0</v>
      </c>
      <c r="I82" s="105">
        <f t="shared" si="52"/>
        <v>0</v>
      </c>
      <c r="J82" s="105">
        <f t="shared" si="52"/>
        <v>0</v>
      </c>
      <c r="K82" s="105">
        <f t="shared" si="52"/>
        <v>0</v>
      </c>
      <c r="L82" s="105">
        <f t="shared" si="52"/>
        <v>0</v>
      </c>
      <c r="M82" s="105">
        <f t="shared" si="52"/>
        <v>0</v>
      </c>
      <c r="N82" s="105">
        <f t="shared" si="52"/>
        <v>0</v>
      </c>
      <c r="O82" s="105">
        <f t="shared" si="52"/>
        <v>0</v>
      </c>
      <c r="P82" s="105">
        <f t="shared" si="52"/>
        <v>0</v>
      </c>
      <c r="Q82" s="105">
        <f t="shared" si="52"/>
        <v>0</v>
      </c>
      <c r="R82" s="105">
        <f t="shared" si="52"/>
        <v>0</v>
      </c>
      <c r="S82" s="105">
        <f t="shared" si="52"/>
        <v>0</v>
      </c>
      <c r="T82" s="105">
        <f t="shared" si="52"/>
        <v>0</v>
      </c>
      <c r="U82" s="105">
        <f t="shared" si="52"/>
        <v>0</v>
      </c>
      <c r="V82" s="105">
        <f t="shared" si="52"/>
        <v>0</v>
      </c>
      <c r="W82" s="105">
        <f t="shared" si="52"/>
        <v>0</v>
      </c>
      <c r="X82" s="105">
        <f t="shared" si="52"/>
        <v>0</v>
      </c>
      <c r="Y82" s="105">
        <f t="shared" si="52"/>
        <v>0</v>
      </c>
      <c r="Z82" s="105">
        <f t="shared" si="52"/>
        <v>0</v>
      </c>
      <c r="AA82" s="105">
        <f t="shared" si="52"/>
        <v>0</v>
      </c>
      <c r="AB82" s="105">
        <f t="shared" si="52"/>
        <v>0</v>
      </c>
      <c r="AC82" s="105">
        <f t="shared" si="52"/>
        <v>0</v>
      </c>
      <c r="AD82" s="105">
        <f t="shared" si="52"/>
        <v>0</v>
      </c>
      <c r="AE82" s="105">
        <f t="shared" si="52"/>
        <v>0</v>
      </c>
      <c r="AF82" s="105">
        <f t="shared" si="52"/>
        <v>0</v>
      </c>
      <c r="AG82" s="105">
        <f t="shared" si="52"/>
        <v>0</v>
      </c>
      <c r="AH82" s="105">
        <f t="shared" si="52"/>
        <v>0</v>
      </c>
      <c r="AI82" s="105">
        <f t="shared" si="52"/>
        <v>0</v>
      </c>
      <c r="AJ82" s="105">
        <f t="shared" si="52"/>
        <v>0</v>
      </c>
      <c r="AK82" s="105">
        <f t="shared" si="52"/>
        <v>0</v>
      </c>
      <c r="AL82" s="105">
        <f t="shared" si="52"/>
        <v>0</v>
      </c>
      <c r="AM82" s="105">
        <f t="shared" si="52"/>
        <v>0</v>
      </c>
      <c r="AN82" s="105">
        <f t="shared" si="52"/>
        <v>0</v>
      </c>
      <c r="AO82" s="105">
        <f t="shared" si="52"/>
        <v>0</v>
      </c>
      <c r="AP82" s="105">
        <f t="shared" si="52"/>
        <v>0</v>
      </c>
      <c r="AQ82" s="105">
        <f t="shared" si="52"/>
        <v>0</v>
      </c>
      <c r="AR82" s="105">
        <f t="shared" si="52"/>
        <v>0</v>
      </c>
      <c r="AS82" s="105">
        <f t="shared" si="52"/>
        <v>0</v>
      </c>
      <c r="AT82" s="105">
        <f t="shared" si="52"/>
        <v>0</v>
      </c>
      <c r="AU82" s="105">
        <f t="shared" si="52"/>
        <v>0</v>
      </c>
      <c r="AV82" s="105">
        <f t="shared" si="52"/>
        <v>0</v>
      </c>
      <c r="AW82" s="105">
        <f t="shared" si="52"/>
        <v>0</v>
      </c>
      <c r="AX82" s="105">
        <f t="shared" si="52"/>
        <v>0</v>
      </c>
      <c r="AY82" s="105">
        <f t="shared" si="52"/>
        <v>0</v>
      </c>
      <c r="AZ82" s="105">
        <f t="shared" si="52"/>
        <v>0</v>
      </c>
      <c r="BA82" s="105">
        <f t="shared" si="52"/>
        <v>0</v>
      </c>
      <c r="BB82" s="105">
        <f t="shared" si="52"/>
        <v>0</v>
      </c>
      <c r="BC82" s="105">
        <f t="shared" si="52"/>
        <v>0</v>
      </c>
      <c r="BD82" s="105">
        <f t="shared" si="52"/>
        <v>0</v>
      </c>
      <c r="BE82" s="105">
        <f t="shared" si="52"/>
        <v>0</v>
      </c>
      <c r="BF82" s="105">
        <f t="shared" si="52"/>
        <v>0</v>
      </c>
      <c r="BG82" s="105">
        <f t="shared" si="52"/>
        <v>0</v>
      </c>
      <c r="BH82" s="105">
        <f t="shared" si="52"/>
        <v>0</v>
      </c>
      <c r="BI82" s="105">
        <f t="shared" si="52"/>
        <v>0</v>
      </c>
      <c r="BJ82" s="105">
        <f t="shared" si="52"/>
        <v>0</v>
      </c>
      <c r="BK82" s="105">
        <f t="shared" si="52"/>
        <v>0</v>
      </c>
      <c r="BL82" s="105">
        <f t="shared" si="52"/>
        <v>0</v>
      </c>
      <c r="BM82" s="105">
        <f t="shared" si="52"/>
        <v>0</v>
      </c>
      <c r="BN82" s="105">
        <f t="shared" si="52"/>
        <v>0</v>
      </c>
      <c r="BO82" s="105">
        <f t="shared" si="52"/>
        <v>0</v>
      </c>
      <c r="BP82" s="105">
        <f t="shared" ref="BP82:CP82" si="53">Total_without_scheme_NOx_emissions*National_emissions_exceedance*National_mask</f>
        <v>0</v>
      </c>
      <c r="BQ82" s="105">
        <f t="shared" si="53"/>
        <v>0</v>
      </c>
      <c r="BR82" s="105">
        <f t="shared" si="53"/>
        <v>0</v>
      </c>
      <c r="BS82" s="105">
        <f t="shared" si="53"/>
        <v>0</v>
      </c>
      <c r="BT82" s="105">
        <f t="shared" si="53"/>
        <v>0</v>
      </c>
      <c r="BU82" s="105">
        <f t="shared" si="53"/>
        <v>0</v>
      </c>
      <c r="BV82" s="105">
        <f t="shared" si="53"/>
        <v>0</v>
      </c>
      <c r="BW82" s="105">
        <f t="shared" si="53"/>
        <v>0</v>
      </c>
      <c r="BX82" s="105">
        <f t="shared" si="53"/>
        <v>0</v>
      </c>
      <c r="BY82" s="105">
        <f t="shared" si="53"/>
        <v>0</v>
      </c>
      <c r="BZ82" s="105">
        <f t="shared" si="53"/>
        <v>0</v>
      </c>
      <c r="CA82" s="105">
        <f t="shared" si="53"/>
        <v>0</v>
      </c>
      <c r="CB82" s="105">
        <f t="shared" si="53"/>
        <v>0</v>
      </c>
      <c r="CC82" s="105">
        <f t="shared" si="53"/>
        <v>0</v>
      </c>
      <c r="CD82" s="105">
        <f t="shared" si="53"/>
        <v>0</v>
      </c>
      <c r="CE82" s="105">
        <f t="shared" si="53"/>
        <v>0</v>
      </c>
      <c r="CF82" s="105">
        <f t="shared" si="53"/>
        <v>0</v>
      </c>
      <c r="CG82" s="105">
        <f t="shared" si="53"/>
        <v>0</v>
      </c>
      <c r="CH82" s="105">
        <f t="shared" si="53"/>
        <v>0</v>
      </c>
      <c r="CI82" s="105">
        <f t="shared" si="53"/>
        <v>0</v>
      </c>
      <c r="CJ82" s="105">
        <f t="shared" si="53"/>
        <v>0</v>
      </c>
      <c r="CK82" s="105">
        <f t="shared" si="53"/>
        <v>0</v>
      </c>
      <c r="CL82" s="105">
        <f t="shared" si="53"/>
        <v>0</v>
      </c>
      <c r="CM82" s="105">
        <f t="shared" si="53"/>
        <v>0</v>
      </c>
      <c r="CN82" s="105">
        <f t="shared" si="53"/>
        <v>0</v>
      </c>
      <c r="CO82" s="105">
        <f t="shared" si="53"/>
        <v>0</v>
      </c>
      <c r="CP82" s="105">
        <f t="shared" si="53"/>
        <v>0</v>
      </c>
      <c r="CQ82" s="52" t="s">
        <v>121</v>
      </c>
    </row>
    <row r="83" spans="1:95" outlineLevel="1" x14ac:dyDescent="0.25">
      <c r="B83" t="s">
        <v>94</v>
      </c>
      <c r="D83" s="105">
        <f t="shared" ref="D83:BO83" si="54">Total_with_scheme_NOx_emissions*National_emissions_exceedance*National_mask</f>
        <v>0</v>
      </c>
      <c r="E83" s="105">
        <f t="shared" si="54"/>
        <v>0</v>
      </c>
      <c r="F83" s="105">
        <f t="shared" si="54"/>
        <v>0</v>
      </c>
      <c r="G83" s="105">
        <f t="shared" si="54"/>
        <v>0</v>
      </c>
      <c r="H83" s="105">
        <f t="shared" si="54"/>
        <v>0</v>
      </c>
      <c r="I83" s="105">
        <f t="shared" si="54"/>
        <v>0</v>
      </c>
      <c r="J83" s="105">
        <f t="shared" si="54"/>
        <v>0</v>
      </c>
      <c r="K83" s="105">
        <f t="shared" si="54"/>
        <v>0</v>
      </c>
      <c r="L83" s="105">
        <f t="shared" si="54"/>
        <v>0</v>
      </c>
      <c r="M83" s="105">
        <f t="shared" si="54"/>
        <v>0</v>
      </c>
      <c r="N83" s="105">
        <f t="shared" si="54"/>
        <v>0</v>
      </c>
      <c r="O83" s="105">
        <f t="shared" si="54"/>
        <v>0</v>
      </c>
      <c r="P83" s="105">
        <f t="shared" si="54"/>
        <v>0</v>
      </c>
      <c r="Q83" s="105">
        <f t="shared" si="54"/>
        <v>0</v>
      </c>
      <c r="R83" s="105">
        <f t="shared" si="54"/>
        <v>0</v>
      </c>
      <c r="S83" s="105">
        <f t="shared" si="54"/>
        <v>0</v>
      </c>
      <c r="T83" s="105">
        <f t="shared" si="54"/>
        <v>0</v>
      </c>
      <c r="U83" s="105">
        <f t="shared" si="54"/>
        <v>0</v>
      </c>
      <c r="V83" s="105">
        <f t="shared" si="54"/>
        <v>0</v>
      </c>
      <c r="W83" s="105">
        <f t="shared" si="54"/>
        <v>0</v>
      </c>
      <c r="X83" s="105">
        <f t="shared" si="54"/>
        <v>0</v>
      </c>
      <c r="Y83" s="105">
        <f t="shared" si="54"/>
        <v>0</v>
      </c>
      <c r="Z83" s="105">
        <f t="shared" si="54"/>
        <v>0</v>
      </c>
      <c r="AA83" s="105">
        <f t="shared" si="54"/>
        <v>0</v>
      </c>
      <c r="AB83" s="105">
        <f t="shared" si="54"/>
        <v>0</v>
      </c>
      <c r="AC83" s="105">
        <f t="shared" si="54"/>
        <v>0</v>
      </c>
      <c r="AD83" s="105">
        <f t="shared" si="54"/>
        <v>0</v>
      </c>
      <c r="AE83" s="105">
        <f t="shared" si="54"/>
        <v>0</v>
      </c>
      <c r="AF83" s="105">
        <f t="shared" si="54"/>
        <v>0</v>
      </c>
      <c r="AG83" s="105">
        <f t="shared" si="54"/>
        <v>0</v>
      </c>
      <c r="AH83" s="105">
        <f t="shared" si="54"/>
        <v>0</v>
      </c>
      <c r="AI83" s="105">
        <f t="shared" si="54"/>
        <v>0</v>
      </c>
      <c r="AJ83" s="105">
        <f t="shared" si="54"/>
        <v>0</v>
      </c>
      <c r="AK83" s="105">
        <f t="shared" si="54"/>
        <v>0</v>
      </c>
      <c r="AL83" s="105">
        <f t="shared" si="54"/>
        <v>0</v>
      </c>
      <c r="AM83" s="105">
        <f t="shared" si="54"/>
        <v>0</v>
      </c>
      <c r="AN83" s="105">
        <f t="shared" si="54"/>
        <v>0</v>
      </c>
      <c r="AO83" s="105">
        <f t="shared" si="54"/>
        <v>0</v>
      </c>
      <c r="AP83" s="105">
        <f t="shared" si="54"/>
        <v>0</v>
      </c>
      <c r="AQ83" s="105">
        <f t="shared" si="54"/>
        <v>0</v>
      </c>
      <c r="AR83" s="105">
        <f t="shared" si="54"/>
        <v>0</v>
      </c>
      <c r="AS83" s="105">
        <f t="shared" si="54"/>
        <v>0</v>
      </c>
      <c r="AT83" s="105">
        <f t="shared" si="54"/>
        <v>0</v>
      </c>
      <c r="AU83" s="105">
        <f t="shared" si="54"/>
        <v>0</v>
      </c>
      <c r="AV83" s="105">
        <f t="shared" si="54"/>
        <v>0</v>
      </c>
      <c r="AW83" s="105">
        <f t="shared" si="54"/>
        <v>0</v>
      </c>
      <c r="AX83" s="105">
        <f t="shared" si="54"/>
        <v>0</v>
      </c>
      <c r="AY83" s="105">
        <f t="shared" si="54"/>
        <v>0</v>
      </c>
      <c r="AZ83" s="105">
        <f t="shared" si="54"/>
        <v>0</v>
      </c>
      <c r="BA83" s="105">
        <f t="shared" si="54"/>
        <v>0</v>
      </c>
      <c r="BB83" s="105">
        <f t="shared" si="54"/>
        <v>0</v>
      </c>
      <c r="BC83" s="105">
        <f t="shared" si="54"/>
        <v>0</v>
      </c>
      <c r="BD83" s="105">
        <f t="shared" si="54"/>
        <v>0</v>
      </c>
      <c r="BE83" s="105">
        <f t="shared" si="54"/>
        <v>0</v>
      </c>
      <c r="BF83" s="105">
        <f t="shared" si="54"/>
        <v>0</v>
      </c>
      <c r="BG83" s="105">
        <f t="shared" si="54"/>
        <v>0</v>
      </c>
      <c r="BH83" s="105">
        <f t="shared" si="54"/>
        <v>0</v>
      </c>
      <c r="BI83" s="105">
        <f t="shared" si="54"/>
        <v>0</v>
      </c>
      <c r="BJ83" s="105">
        <f t="shared" si="54"/>
        <v>0</v>
      </c>
      <c r="BK83" s="105">
        <f t="shared" si="54"/>
        <v>0</v>
      </c>
      <c r="BL83" s="105">
        <f t="shared" si="54"/>
        <v>0</v>
      </c>
      <c r="BM83" s="105">
        <f t="shared" si="54"/>
        <v>0</v>
      </c>
      <c r="BN83" s="105">
        <f t="shared" si="54"/>
        <v>0</v>
      </c>
      <c r="BO83" s="105">
        <f t="shared" si="54"/>
        <v>0</v>
      </c>
      <c r="BP83" s="105">
        <f t="shared" ref="BP83:CP83" si="55">Total_with_scheme_NOx_emissions*National_emissions_exceedance*National_mask</f>
        <v>0</v>
      </c>
      <c r="BQ83" s="105">
        <f t="shared" si="55"/>
        <v>0</v>
      </c>
      <c r="BR83" s="105">
        <f t="shared" si="55"/>
        <v>0</v>
      </c>
      <c r="BS83" s="105">
        <f t="shared" si="55"/>
        <v>0</v>
      </c>
      <c r="BT83" s="105">
        <f t="shared" si="55"/>
        <v>0</v>
      </c>
      <c r="BU83" s="105">
        <f t="shared" si="55"/>
        <v>0</v>
      </c>
      <c r="BV83" s="105">
        <f t="shared" si="55"/>
        <v>0</v>
      </c>
      <c r="BW83" s="105">
        <f t="shared" si="55"/>
        <v>0</v>
      </c>
      <c r="BX83" s="105">
        <f t="shared" si="55"/>
        <v>0</v>
      </c>
      <c r="BY83" s="105">
        <f t="shared" si="55"/>
        <v>0</v>
      </c>
      <c r="BZ83" s="105">
        <f t="shared" si="55"/>
        <v>0</v>
      </c>
      <c r="CA83" s="105">
        <f t="shared" si="55"/>
        <v>0</v>
      </c>
      <c r="CB83" s="105">
        <f t="shared" si="55"/>
        <v>0</v>
      </c>
      <c r="CC83" s="105">
        <f t="shared" si="55"/>
        <v>0</v>
      </c>
      <c r="CD83" s="105">
        <f t="shared" si="55"/>
        <v>0</v>
      </c>
      <c r="CE83" s="105">
        <f t="shared" si="55"/>
        <v>0</v>
      </c>
      <c r="CF83" s="105">
        <f t="shared" si="55"/>
        <v>0</v>
      </c>
      <c r="CG83" s="105">
        <f t="shared" si="55"/>
        <v>0</v>
      </c>
      <c r="CH83" s="105">
        <f t="shared" si="55"/>
        <v>0</v>
      </c>
      <c r="CI83" s="105">
        <f t="shared" si="55"/>
        <v>0</v>
      </c>
      <c r="CJ83" s="105">
        <f t="shared" si="55"/>
        <v>0</v>
      </c>
      <c r="CK83" s="105">
        <f t="shared" si="55"/>
        <v>0</v>
      </c>
      <c r="CL83" s="105">
        <f t="shared" si="55"/>
        <v>0</v>
      </c>
      <c r="CM83" s="105">
        <f t="shared" si="55"/>
        <v>0</v>
      </c>
      <c r="CN83" s="105">
        <f t="shared" si="55"/>
        <v>0</v>
      </c>
      <c r="CO83" s="105">
        <f t="shared" si="55"/>
        <v>0</v>
      </c>
      <c r="CP83" s="105">
        <f t="shared" si="55"/>
        <v>0</v>
      </c>
      <c r="CQ83" s="52" t="s">
        <v>270</v>
      </c>
    </row>
    <row r="84" spans="1:95" outlineLevel="1" x14ac:dyDescent="0.25">
      <c r="B84" t="s">
        <v>175</v>
      </c>
      <c r="D84" s="53">
        <f>National_with_scheme_emissions-National_without_scheme_emissions</f>
        <v>0</v>
      </c>
      <c r="E84" s="53">
        <f t="shared" ref="E84:BP84" si="56">National_with_scheme_emissions-National_without_scheme_emissions</f>
        <v>0</v>
      </c>
      <c r="F84" s="53">
        <f t="shared" si="56"/>
        <v>0</v>
      </c>
      <c r="G84" s="53">
        <f t="shared" si="56"/>
        <v>0</v>
      </c>
      <c r="H84" s="53">
        <f t="shared" si="56"/>
        <v>0</v>
      </c>
      <c r="I84" s="53">
        <f t="shared" si="56"/>
        <v>0</v>
      </c>
      <c r="J84" s="53">
        <f t="shared" si="56"/>
        <v>0</v>
      </c>
      <c r="K84" s="53">
        <f t="shared" si="56"/>
        <v>0</v>
      </c>
      <c r="L84" s="53">
        <f t="shared" si="56"/>
        <v>0</v>
      </c>
      <c r="M84" s="53">
        <f t="shared" si="56"/>
        <v>0</v>
      </c>
      <c r="N84" s="53">
        <f t="shared" si="56"/>
        <v>0</v>
      </c>
      <c r="O84" s="53">
        <f t="shared" si="56"/>
        <v>0</v>
      </c>
      <c r="P84" s="53">
        <f t="shared" si="56"/>
        <v>0</v>
      </c>
      <c r="Q84" s="53">
        <f t="shared" si="56"/>
        <v>0</v>
      </c>
      <c r="R84" s="53">
        <f t="shared" si="56"/>
        <v>0</v>
      </c>
      <c r="S84" s="53">
        <f t="shared" si="56"/>
        <v>0</v>
      </c>
      <c r="T84" s="53">
        <f t="shared" si="56"/>
        <v>0</v>
      </c>
      <c r="U84" s="53">
        <f t="shared" si="56"/>
        <v>0</v>
      </c>
      <c r="V84" s="53">
        <f t="shared" si="56"/>
        <v>0</v>
      </c>
      <c r="W84" s="53">
        <f t="shared" si="56"/>
        <v>0</v>
      </c>
      <c r="X84" s="53">
        <f t="shared" si="56"/>
        <v>0</v>
      </c>
      <c r="Y84" s="53">
        <f t="shared" si="56"/>
        <v>0</v>
      </c>
      <c r="Z84" s="53">
        <f t="shared" si="56"/>
        <v>0</v>
      </c>
      <c r="AA84" s="53">
        <f t="shared" si="56"/>
        <v>0</v>
      </c>
      <c r="AB84" s="53">
        <f t="shared" si="56"/>
        <v>0</v>
      </c>
      <c r="AC84" s="53">
        <f t="shared" si="56"/>
        <v>0</v>
      </c>
      <c r="AD84" s="53">
        <f t="shared" si="56"/>
        <v>0</v>
      </c>
      <c r="AE84" s="53">
        <f t="shared" si="56"/>
        <v>0</v>
      </c>
      <c r="AF84" s="53">
        <f t="shared" si="56"/>
        <v>0</v>
      </c>
      <c r="AG84" s="53">
        <f t="shared" si="56"/>
        <v>0</v>
      </c>
      <c r="AH84" s="53">
        <f t="shared" si="56"/>
        <v>0</v>
      </c>
      <c r="AI84" s="53">
        <f t="shared" si="56"/>
        <v>0</v>
      </c>
      <c r="AJ84" s="53">
        <f t="shared" si="56"/>
        <v>0</v>
      </c>
      <c r="AK84" s="53">
        <f t="shared" si="56"/>
        <v>0</v>
      </c>
      <c r="AL84" s="53">
        <f t="shared" si="56"/>
        <v>0</v>
      </c>
      <c r="AM84" s="53">
        <f t="shared" si="56"/>
        <v>0</v>
      </c>
      <c r="AN84" s="53">
        <f t="shared" si="56"/>
        <v>0</v>
      </c>
      <c r="AO84" s="53">
        <f t="shared" si="56"/>
        <v>0</v>
      </c>
      <c r="AP84" s="53">
        <f t="shared" si="56"/>
        <v>0</v>
      </c>
      <c r="AQ84" s="53">
        <f t="shared" si="56"/>
        <v>0</v>
      </c>
      <c r="AR84" s="53">
        <f t="shared" si="56"/>
        <v>0</v>
      </c>
      <c r="AS84" s="53">
        <f t="shared" si="56"/>
        <v>0</v>
      </c>
      <c r="AT84" s="53">
        <f t="shared" si="56"/>
        <v>0</v>
      </c>
      <c r="AU84" s="53">
        <f t="shared" si="56"/>
        <v>0</v>
      </c>
      <c r="AV84" s="53">
        <f t="shared" si="56"/>
        <v>0</v>
      </c>
      <c r="AW84" s="53">
        <f t="shared" si="56"/>
        <v>0</v>
      </c>
      <c r="AX84" s="53">
        <f t="shared" si="56"/>
        <v>0</v>
      </c>
      <c r="AY84" s="53">
        <f t="shared" si="56"/>
        <v>0</v>
      </c>
      <c r="AZ84" s="53">
        <f t="shared" si="56"/>
        <v>0</v>
      </c>
      <c r="BA84" s="53">
        <f t="shared" si="56"/>
        <v>0</v>
      </c>
      <c r="BB84" s="53">
        <f t="shared" si="56"/>
        <v>0</v>
      </c>
      <c r="BC84" s="53">
        <f t="shared" si="56"/>
        <v>0</v>
      </c>
      <c r="BD84" s="53">
        <f t="shared" si="56"/>
        <v>0</v>
      </c>
      <c r="BE84" s="53">
        <f t="shared" si="56"/>
        <v>0</v>
      </c>
      <c r="BF84" s="53">
        <f t="shared" si="56"/>
        <v>0</v>
      </c>
      <c r="BG84" s="53">
        <f t="shared" si="56"/>
        <v>0</v>
      </c>
      <c r="BH84" s="53">
        <f t="shared" si="56"/>
        <v>0</v>
      </c>
      <c r="BI84" s="53">
        <f t="shared" si="56"/>
        <v>0</v>
      </c>
      <c r="BJ84" s="53">
        <f t="shared" si="56"/>
        <v>0</v>
      </c>
      <c r="BK84" s="53">
        <f t="shared" si="56"/>
        <v>0</v>
      </c>
      <c r="BL84" s="53">
        <f t="shared" si="56"/>
        <v>0</v>
      </c>
      <c r="BM84" s="53">
        <f t="shared" si="56"/>
        <v>0</v>
      </c>
      <c r="BN84" s="53">
        <f t="shared" si="56"/>
        <v>0</v>
      </c>
      <c r="BO84" s="53">
        <f t="shared" si="56"/>
        <v>0</v>
      </c>
      <c r="BP84" s="53">
        <f t="shared" si="56"/>
        <v>0</v>
      </c>
      <c r="BQ84" s="53">
        <f t="shared" ref="BQ84:CP84" si="57">National_with_scheme_emissions-National_without_scheme_emissions</f>
        <v>0</v>
      </c>
      <c r="BR84" s="53">
        <f t="shared" si="57"/>
        <v>0</v>
      </c>
      <c r="BS84" s="53">
        <f t="shared" si="57"/>
        <v>0</v>
      </c>
      <c r="BT84" s="53">
        <f t="shared" si="57"/>
        <v>0</v>
      </c>
      <c r="BU84" s="53">
        <f t="shared" si="57"/>
        <v>0</v>
      </c>
      <c r="BV84" s="53">
        <f t="shared" si="57"/>
        <v>0</v>
      </c>
      <c r="BW84" s="53">
        <f t="shared" si="57"/>
        <v>0</v>
      </c>
      <c r="BX84" s="53">
        <f t="shared" si="57"/>
        <v>0</v>
      </c>
      <c r="BY84" s="53">
        <f t="shared" si="57"/>
        <v>0</v>
      </c>
      <c r="BZ84" s="53">
        <f t="shared" si="57"/>
        <v>0</v>
      </c>
      <c r="CA84" s="53">
        <f t="shared" si="57"/>
        <v>0</v>
      </c>
      <c r="CB84" s="53">
        <f t="shared" si="57"/>
        <v>0</v>
      </c>
      <c r="CC84" s="53">
        <f t="shared" si="57"/>
        <v>0</v>
      </c>
      <c r="CD84" s="53">
        <f t="shared" si="57"/>
        <v>0</v>
      </c>
      <c r="CE84" s="53">
        <f t="shared" si="57"/>
        <v>0</v>
      </c>
      <c r="CF84" s="53">
        <f t="shared" si="57"/>
        <v>0</v>
      </c>
      <c r="CG84" s="53">
        <f t="shared" si="57"/>
        <v>0</v>
      </c>
      <c r="CH84" s="53">
        <f t="shared" si="57"/>
        <v>0</v>
      </c>
      <c r="CI84" s="53">
        <f t="shared" si="57"/>
        <v>0</v>
      </c>
      <c r="CJ84" s="53">
        <f t="shared" si="57"/>
        <v>0</v>
      </c>
      <c r="CK84" s="53">
        <f t="shared" si="57"/>
        <v>0</v>
      </c>
      <c r="CL84" s="53">
        <f t="shared" si="57"/>
        <v>0</v>
      </c>
      <c r="CM84" s="53">
        <f t="shared" si="57"/>
        <v>0</v>
      </c>
      <c r="CN84" s="53">
        <f t="shared" si="57"/>
        <v>0</v>
      </c>
      <c r="CO84" s="53">
        <f t="shared" si="57"/>
        <v>0</v>
      </c>
      <c r="CP84" s="53">
        <f t="shared" si="57"/>
        <v>0</v>
      </c>
      <c r="CQ84" s="62" t="s">
        <v>171</v>
      </c>
    </row>
    <row r="85" spans="1:95" outlineLevel="1" x14ac:dyDescent="0.25">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row>
    <row r="86" spans="1:95" ht="15.75" outlineLevel="1" x14ac:dyDescent="0.25">
      <c r="A86" s="84"/>
      <c r="B86" s="86" t="s">
        <v>318</v>
      </c>
      <c r="C86" s="84"/>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4"/>
    </row>
    <row r="87" spans="1:95" ht="15.75" outlineLevel="1" x14ac:dyDescent="0.25">
      <c r="A87" s="78"/>
      <c r="B87" s="102"/>
      <c r="C87" s="78"/>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78"/>
    </row>
    <row r="88" spans="1:95" ht="15.75" outlineLevel="1" x14ac:dyDescent="0.25">
      <c r="B88" s="104" t="s">
        <v>196</v>
      </c>
      <c r="D88" s="126">
        <f t="shared" ref="D88:X88" si="58">Rail_emissions_exceedance_in</f>
        <v>8.4000000000000005E-2</v>
      </c>
      <c r="E88" s="126">
        <f t="shared" si="58"/>
        <v>7.7399999999999997E-2</v>
      </c>
      <c r="F88" s="126">
        <f t="shared" si="58"/>
        <v>7.0800000000000002E-2</v>
      </c>
      <c r="G88" s="126">
        <f t="shared" si="58"/>
        <v>6.4199999999999993E-2</v>
      </c>
      <c r="H88" s="126">
        <f t="shared" si="58"/>
        <v>5.7599999999999998E-2</v>
      </c>
      <c r="I88" s="126">
        <f t="shared" si="58"/>
        <v>5.0999999999999997E-2</v>
      </c>
      <c r="J88" s="126">
        <f t="shared" si="58"/>
        <v>4.2800000000000005E-2</v>
      </c>
      <c r="K88" s="126">
        <f t="shared" si="58"/>
        <v>3.4599999999999999E-2</v>
      </c>
      <c r="L88" s="126">
        <f t="shared" si="58"/>
        <v>2.64E-2</v>
      </c>
      <c r="M88" s="126">
        <f t="shared" si="58"/>
        <v>1.8200000000000001E-2</v>
      </c>
      <c r="N88" s="126">
        <f t="shared" si="58"/>
        <v>0.01</v>
      </c>
      <c r="O88" s="126">
        <f t="shared" si="58"/>
        <v>8.3999999999999995E-3</v>
      </c>
      <c r="P88" s="126">
        <f t="shared" si="58"/>
        <v>6.8000000000000005E-3</v>
      </c>
      <c r="Q88" s="126">
        <f t="shared" si="58"/>
        <v>5.1999999999999998E-3</v>
      </c>
      <c r="R88" s="126">
        <f t="shared" si="58"/>
        <v>3.5999999999999999E-3</v>
      </c>
      <c r="S88" s="126">
        <f t="shared" si="58"/>
        <v>2E-3</v>
      </c>
      <c r="T88" s="126">
        <f t="shared" si="58"/>
        <v>1.6000000000000001E-3</v>
      </c>
      <c r="U88" s="126">
        <f t="shared" si="58"/>
        <v>1.1999999999999999E-3</v>
      </c>
      <c r="V88" s="126">
        <f t="shared" si="58"/>
        <v>8.0000000000000004E-4</v>
      </c>
      <c r="W88" s="126">
        <f t="shared" si="58"/>
        <v>4.0000000000000002E-4</v>
      </c>
      <c r="X88" s="126">
        <f t="shared" si="58"/>
        <v>0</v>
      </c>
      <c r="Y88" s="127">
        <v>0</v>
      </c>
      <c r="Z88" s="127">
        <v>0</v>
      </c>
      <c r="AA88" s="127">
        <v>0</v>
      </c>
      <c r="AB88" s="127">
        <v>0</v>
      </c>
      <c r="AC88" s="127">
        <v>0</v>
      </c>
      <c r="AD88" s="127">
        <v>0</v>
      </c>
      <c r="AE88" s="127">
        <v>0</v>
      </c>
      <c r="AF88" s="127">
        <v>0</v>
      </c>
      <c r="AG88" s="127">
        <v>0</v>
      </c>
      <c r="AH88" s="127">
        <v>0</v>
      </c>
      <c r="AI88" s="127">
        <v>0</v>
      </c>
      <c r="AJ88" s="127">
        <v>0</v>
      </c>
      <c r="AK88" s="127">
        <v>0</v>
      </c>
      <c r="AL88" s="127">
        <v>0</v>
      </c>
      <c r="AM88" s="127">
        <v>0</v>
      </c>
      <c r="AN88" s="127">
        <v>0</v>
      </c>
      <c r="AO88" s="127">
        <v>0</v>
      </c>
      <c r="AP88" s="127">
        <v>0</v>
      </c>
      <c r="AQ88" s="127">
        <v>0</v>
      </c>
      <c r="AR88" s="127">
        <v>0</v>
      </c>
      <c r="AS88" s="127">
        <v>0</v>
      </c>
      <c r="AT88" s="127">
        <v>0</v>
      </c>
      <c r="AU88" s="127">
        <v>0</v>
      </c>
      <c r="AV88" s="127">
        <v>0</v>
      </c>
      <c r="AW88" s="127">
        <v>0</v>
      </c>
      <c r="AX88" s="127">
        <v>0</v>
      </c>
      <c r="AY88" s="127">
        <v>0</v>
      </c>
      <c r="AZ88" s="127">
        <v>0</v>
      </c>
      <c r="BA88" s="127">
        <v>0</v>
      </c>
      <c r="BB88" s="127">
        <v>0</v>
      </c>
      <c r="BC88" s="127">
        <v>0</v>
      </c>
      <c r="BD88" s="127">
        <v>0</v>
      </c>
      <c r="BE88" s="127">
        <v>0</v>
      </c>
      <c r="BF88" s="127">
        <v>0</v>
      </c>
      <c r="BG88" s="127">
        <v>0</v>
      </c>
      <c r="BH88" s="127">
        <v>0</v>
      </c>
      <c r="BI88" s="127">
        <v>0</v>
      </c>
      <c r="BJ88" s="127">
        <v>0</v>
      </c>
      <c r="BK88" s="127">
        <v>0</v>
      </c>
      <c r="BL88" s="127">
        <v>0</v>
      </c>
      <c r="BM88" s="127">
        <v>0</v>
      </c>
      <c r="BN88" s="127">
        <v>0</v>
      </c>
      <c r="BO88" s="127">
        <v>0</v>
      </c>
      <c r="BP88" s="127">
        <v>0</v>
      </c>
      <c r="BQ88" s="127">
        <v>0</v>
      </c>
      <c r="BR88" s="127">
        <v>0</v>
      </c>
      <c r="BS88" s="127">
        <v>0</v>
      </c>
      <c r="BT88" s="127">
        <v>0</v>
      </c>
      <c r="BU88" s="127">
        <v>0</v>
      </c>
      <c r="BV88" s="127">
        <v>0</v>
      </c>
      <c r="BW88" s="127">
        <v>0</v>
      </c>
      <c r="BX88" s="127">
        <v>0</v>
      </c>
      <c r="BY88" s="127">
        <v>0</v>
      </c>
      <c r="BZ88" s="127">
        <v>0</v>
      </c>
      <c r="CA88" s="127">
        <v>0</v>
      </c>
      <c r="CB88" s="127">
        <v>0</v>
      </c>
      <c r="CC88" s="127">
        <v>0</v>
      </c>
      <c r="CD88" s="127">
        <v>0</v>
      </c>
      <c r="CE88" s="127">
        <v>0</v>
      </c>
      <c r="CF88" s="127">
        <v>0</v>
      </c>
      <c r="CG88" s="127">
        <v>0</v>
      </c>
      <c r="CH88" s="127">
        <v>0</v>
      </c>
      <c r="CI88" s="127">
        <v>0</v>
      </c>
      <c r="CJ88" s="127">
        <v>0</v>
      </c>
      <c r="CK88" s="127">
        <v>0</v>
      </c>
      <c r="CL88" s="127">
        <v>0</v>
      </c>
      <c r="CM88" s="127">
        <v>0</v>
      </c>
      <c r="CN88" s="127">
        <v>0</v>
      </c>
      <c r="CO88" s="127">
        <v>0</v>
      </c>
      <c r="CP88" s="127">
        <v>0</v>
      </c>
      <c r="CQ88" s="52" t="s">
        <v>122</v>
      </c>
    </row>
    <row r="89" spans="1:95" outlineLevel="1" x14ac:dyDescent="0.25">
      <c r="B89" t="s">
        <v>43</v>
      </c>
      <c r="D89" s="53">
        <f t="shared" ref="D89:BO89" si="59">Total_without_scheme_NOx_emissions*Rail_emissions_exceedance*Rail_mask</f>
        <v>0</v>
      </c>
      <c r="E89" s="53">
        <f t="shared" si="59"/>
        <v>0</v>
      </c>
      <c r="F89" s="53">
        <f t="shared" si="59"/>
        <v>0</v>
      </c>
      <c r="G89" s="53">
        <f t="shared" si="59"/>
        <v>0</v>
      </c>
      <c r="H89" s="53">
        <f t="shared" si="59"/>
        <v>0</v>
      </c>
      <c r="I89" s="53">
        <f t="shared" si="59"/>
        <v>0</v>
      </c>
      <c r="J89" s="53">
        <f t="shared" si="59"/>
        <v>0</v>
      </c>
      <c r="K89" s="53">
        <f t="shared" si="59"/>
        <v>0</v>
      </c>
      <c r="L89" s="53">
        <f t="shared" si="59"/>
        <v>0</v>
      </c>
      <c r="M89" s="53">
        <f t="shared" si="59"/>
        <v>0</v>
      </c>
      <c r="N89" s="53">
        <f t="shared" si="59"/>
        <v>0</v>
      </c>
      <c r="O89" s="53">
        <f t="shared" si="59"/>
        <v>0</v>
      </c>
      <c r="P89" s="53">
        <f t="shared" si="59"/>
        <v>0</v>
      </c>
      <c r="Q89" s="53">
        <f t="shared" si="59"/>
        <v>0</v>
      </c>
      <c r="R89" s="53">
        <f t="shared" si="59"/>
        <v>0</v>
      </c>
      <c r="S89" s="53">
        <f t="shared" si="59"/>
        <v>0</v>
      </c>
      <c r="T89" s="53">
        <f t="shared" si="59"/>
        <v>0</v>
      </c>
      <c r="U89" s="53">
        <f t="shared" si="59"/>
        <v>0</v>
      </c>
      <c r="V89" s="53">
        <f t="shared" si="59"/>
        <v>0</v>
      </c>
      <c r="W89" s="53">
        <f t="shared" si="59"/>
        <v>0</v>
      </c>
      <c r="X89" s="53">
        <f t="shared" si="59"/>
        <v>0</v>
      </c>
      <c r="Y89" s="53">
        <f t="shared" si="59"/>
        <v>0</v>
      </c>
      <c r="Z89" s="53">
        <f t="shared" si="59"/>
        <v>0</v>
      </c>
      <c r="AA89" s="53">
        <f t="shared" si="59"/>
        <v>0</v>
      </c>
      <c r="AB89" s="53">
        <f t="shared" si="59"/>
        <v>0</v>
      </c>
      <c r="AC89" s="53">
        <f t="shared" si="59"/>
        <v>0</v>
      </c>
      <c r="AD89" s="53">
        <f t="shared" si="59"/>
        <v>0</v>
      </c>
      <c r="AE89" s="53">
        <f t="shared" si="59"/>
        <v>0</v>
      </c>
      <c r="AF89" s="53">
        <f t="shared" si="59"/>
        <v>0</v>
      </c>
      <c r="AG89" s="53">
        <f t="shared" si="59"/>
        <v>0</v>
      </c>
      <c r="AH89" s="53">
        <f t="shared" si="59"/>
        <v>0</v>
      </c>
      <c r="AI89" s="53">
        <f t="shared" si="59"/>
        <v>0</v>
      </c>
      <c r="AJ89" s="53">
        <f t="shared" si="59"/>
        <v>0</v>
      </c>
      <c r="AK89" s="53">
        <f t="shared" si="59"/>
        <v>0</v>
      </c>
      <c r="AL89" s="53">
        <f t="shared" si="59"/>
        <v>0</v>
      </c>
      <c r="AM89" s="53">
        <f t="shared" si="59"/>
        <v>0</v>
      </c>
      <c r="AN89" s="53">
        <f t="shared" si="59"/>
        <v>0</v>
      </c>
      <c r="AO89" s="53">
        <f t="shared" si="59"/>
        <v>0</v>
      </c>
      <c r="AP89" s="53">
        <f t="shared" si="59"/>
        <v>0</v>
      </c>
      <c r="AQ89" s="53">
        <f t="shared" si="59"/>
        <v>0</v>
      </c>
      <c r="AR89" s="53">
        <f t="shared" si="59"/>
        <v>0</v>
      </c>
      <c r="AS89" s="53">
        <f t="shared" si="59"/>
        <v>0</v>
      </c>
      <c r="AT89" s="53">
        <f t="shared" si="59"/>
        <v>0</v>
      </c>
      <c r="AU89" s="53">
        <f t="shared" si="59"/>
        <v>0</v>
      </c>
      <c r="AV89" s="53">
        <f t="shared" si="59"/>
        <v>0</v>
      </c>
      <c r="AW89" s="53">
        <f t="shared" si="59"/>
        <v>0</v>
      </c>
      <c r="AX89" s="53">
        <f t="shared" si="59"/>
        <v>0</v>
      </c>
      <c r="AY89" s="53">
        <f t="shared" si="59"/>
        <v>0</v>
      </c>
      <c r="AZ89" s="53">
        <f t="shared" si="59"/>
        <v>0</v>
      </c>
      <c r="BA89" s="53">
        <f t="shared" si="59"/>
        <v>0</v>
      </c>
      <c r="BB89" s="53">
        <f t="shared" si="59"/>
        <v>0</v>
      </c>
      <c r="BC89" s="53">
        <f t="shared" si="59"/>
        <v>0</v>
      </c>
      <c r="BD89" s="53">
        <f t="shared" si="59"/>
        <v>0</v>
      </c>
      <c r="BE89" s="53">
        <f t="shared" si="59"/>
        <v>0</v>
      </c>
      <c r="BF89" s="53">
        <f t="shared" si="59"/>
        <v>0</v>
      </c>
      <c r="BG89" s="53">
        <f t="shared" si="59"/>
        <v>0</v>
      </c>
      <c r="BH89" s="53">
        <f t="shared" si="59"/>
        <v>0</v>
      </c>
      <c r="BI89" s="53">
        <f t="shared" si="59"/>
        <v>0</v>
      </c>
      <c r="BJ89" s="53">
        <f t="shared" si="59"/>
        <v>0</v>
      </c>
      <c r="BK89" s="53">
        <f t="shared" si="59"/>
        <v>0</v>
      </c>
      <c r="BL89" s="53">
        <f t="shared" si="59"/>
        <v>0</v>
      </c>
      <c r="BM89" s="53">
        <f t="shared" si="59"/>
        <v>0</v>
      </c>
      <c r="BN89" s="53">
        <f t="shared" si="59"/>
        <v>0</v>
      </c>
      <c r="BO89" s="53">
        <f t="shared" si="59"/>
        <v>0</v>
      </c>
      <c r="BP89" s="53">
        <f t="shared" ref="BP89:CP89" si="60">Total_without_scheme_NOx_emissions*Rail_emissions_exceedance*Rail_mask</f>
        <v>0</v>
      </c>
      <c r="BQ89" s="53">
        <f t="shared" si="60"/>
        <v>0</v>
      </c>
      <c r="BR89" s="53">
        <f t="shared" si="60"/>
        <v>0</v>
      </c>
      <c r="BS89" s="53">
        <f t="shared" si="60"/>
        <v>0</v>
      </c>
      <c r="BT89" s="53">
        <f t="shared" si="60"/>
        <v>0</v>
      </c>
      <c r="BU89" s="53">
        <f t="shared" si="60"/>
        <v>0</v>
      </c>
      <c r="BV89" s="53">
        <f t="shared" si="60"/>
        <v>0</v>
      </c>
      <c r="BW89" s="53">
        <f t="shared" si="60"/>
        <v>0</v>
      </c>
      <c r="BX89" s="53">
        <f t="shared" si="60"/>
        <v>0</v>
      </c>
      <c r="BY89" s="53">
        <f t="shared" si="60"/>
        <v>0</v>
      </c>
      <c r="BZ89" s="53">
        <f t="shared" si="60"/>
        <v>0</v>
      </c>
      <c r="CA89" s="53">
        <f t="shared" si="60"/>
        <v>0</v>
      </c>
      <c r="CB89" s="53">
        <f t="shared" si="60"/>
        <v>0</v>
      </c>
      <c r="CC89" s="53">
        <f t="shared" si="60"/>
        <v>0</v>
      </c>
      <c r="CD89" s="53">
        <f t="shared" si="60"/>
        <v>0</v>
      </c>
      <c r="CE89" s="53">
        <f t="shared" si="60"/>
        <v>0</v>
      </c>
      <c r="CF89" s="53">
        <f t="shared" si="60"/>
        <v>0</v>
      </c>
      <c r="CG89" s="53">
        <f t="shared" si="60"/>
        <v>0</v>
      </c>
      <c r="CH89" s="53">
        <f t="shared" si="60"/>
        <v>0</v>
      </c>
      <c r="CI89" s="53">
        <f t="shared" si="60"/>
        <v>0</v>
      </c>
      <c r="CJ89" s="53">
        <f t="shared" si="60"/>
        <v>0</v>
      </c>
      <c r="CK89" s="53">
        <f t="shared" si="60"/>
        <v>0</v>
      </c>
      <c r="CL89" s="53">
        <f t="shared" si="60"/>
        <v>0</v>
      </c>
      <c r="CM89" s="53">
        <f t="shared" si="60"/>
        <v>0</v>
      </c>
      <c r="CN89" s="53">
        <f t="shared" si="60"/>
        <v>0</v>
      </c>
      <c r="CO89" s="53">
        <f t="shared" si="60"/>
        <v>0</v>
      </c>
      <c r="CP89" s="53">
        <f t="shared" si="60"/>
        <v>0</v>
      </c>
      <c r="CQ89" s="52" t="s">
        <v>123</v>
      </c>
    </row>
    <row r="90" spans="1:95" outlineLevel="1" x14ac:dyDescent="0.25">
      <c r="B90" t="s">
        <v>44</v>
      </c>
      <c r="D90" s="53">
        <f t="shared" ref="D90:BO90" si="61">Total_with_scheme_NOx_emissions*Rail_emissions_exceedance*Rail_mask</f>
        <v>0</v>
      </c>
      <c r="E90" s="53">
        <f t="shared" si="61"/>
        <v>0</v>
      </c>
      <c r="F90" s="53">
        <f t="shared" si="61"/>
        <v>0</v>
      </c>
      <c r="G90" s="53">
        <f t="shared" si="61"/>
        <v>0</v>
      </c>
      <c r="H90" s="53">
        <f t="shared" si="61"/>
        <v>0</v>
      </c>
      <c r="I90" s="53">
        <f t="shared" si="61"/>
        <v>0</v>
      </c>
      <c r="J90" s="53">
        <f t="shared" si="61"/>
        <v>0</v>
      </c>
      <c r="K90" s="53">
        <f t="shared" si="61"/>
        <v>0</v>
      </c>
      <c r="L90" s="53">
        <f t="shared" si="61"/>
        <v>0</v>
      </c>
      <c r="M90" s="53">
        <f t="shared" si="61"/>
        <v>0</v>
      </c>
      <c r="N90" s="53">
        <f t="shared" si="61"/>
        <v>0</v>
      </c>
      <c r="O90" s="53">
        <f t="shared" si="61"/>
        <v>0</v>
      </c>
      <c r="P90" s="53">
        <f t="shared" si="61"/>
        <v>0</v>
      </c>
      <c r="Q90" s="53">
        <f t="shared" si="61"/>
        <v>0</v>
      </c>
      <c r="R90" s="53">
        <f t="shared" si="61"/>
        <v>0</v>
      </c>
      <c r="S90" s="53">
        <f t="shared" si="61"/>
        <v>0</v>
      </c>
      <c r="T90" s="53">
        <f t="shared" si="61"/>
        <v>0</v>
      </c>
      <c r="U90" s="53">
        <f t="shared" si="61"/>
        <v>0</v>
      </c>
      <c r="V90" s="53">
        <f t="shared" si="61"/>
        <v>0</v>
      </c>
      <c r="W90" s="53">
        <f t="shared" si="61"/>
        <v>0</v>
      </c>
      <c r="X90" s="53">
        <f t="shared" si="61"/>
        <v>0</v>
      </c>
      <c r="Y90" s="53">
        <f t="shared" si="61"/>
        <v>0</v>
      </c>
      <c r="Z90" s="53">
        <f t="shared" si="61"/>
        <v>0</v>
      </c>
      <c r="AA90" s="53">
        <f t="shared" si="61"/>
        <v>0</v>
      </c>
      <c r="AB90" s="53">
        <f t="shared" si="61"/>
        <v>0</v>
      </c>
      <c r="AC90" s="53">
        <f t="shared" si="61"/>
        <v>0</v>
      </c>
      <c r="AD90" s="53">
        <f t="shared" si="61"/>
        <v>0</v>
      </c>
      <c r="AE90" s="53">
        <f t="shared" si="61"/>
        <v>0</v>
      </c>
      <c r="AF90" s="53">
        <f t="shared" si="61"/>
        <v>0</v>
      </c>
      <c r="AG90" s="53">
        <f t="shared" si="61"/>
        <v>0</v>
      </c>
      <c r="AH90" s="53">
        <f t="shared" si="61"/>
        <v>0</v>
      </c>
      <c r="AI90" s="53">
        <f t="shared" si="61"/>
        <v>0</v>
      </c>
      <c r="AJ90" s="53">
        <f t="shared" si="61"/>
        <v>0</v>
      </c>
      <c r="AK90" s="53">
        <f t="shared" si="61"/>
        <v>0</v>
      </c>
      <c r="AL90" s="53">
        <f t="shared" si="61"/>
        <v>0</v>
      </c>
      <c r="AM90" s="53">
        <f t="shared" si="61"/>
        <v>0</v>
      </c>
      <c r="AN90" s="53">
        <f t="shared" si="61"/>
        <v>0</v>
      </c>
      <c r="AO90" s="53">
        <f t="shared" si="61"/>
        <v>0</v>
      </c>
      <c r="AP90" s="53">
        <f t="shared" si="61"/>
        <v>0</v>
      </c>
      <c r="AQ90" s="53">
        <f t="shared" si="61"/>
        <v>0</v>
      </c>
      <c r="AR90" s="53">
        <f t="shared" si="61"/>
        <v>0</v>
      </c>
      <c r="AS90" s="53">
        <f t="shared" si="61"/>
        <v>0</v>
      </c>
      <c r="AT90" s="53">
        <f t="shared" si="61"/>
        <v>0</v>
      </c>
      <c r="AU90" s="53">
        <f t="shared" si="61"/>
        <v>0</v>
      </c>
      <c r="AV90" s="53">
        <f t="shared" si="61"/>
        <v>0</v>
      </c>
      <c r="AW90" s="53">
        <f t="shared" si="61"/>
        <v>0</v>
      </c>
      <c r="AX90" s="53">
        <f t="shared" si="61"/>
        <v>0</v>
      </c>
      <c r="AY90" s="53">
        <f t="shared" si="61"/>
        <v>0</v>
      </c>
      <c r="AZ90" s="53">
        <f t="shared" si="61"/>
        <v>0</v>
      </c>
      <c r="BA90" s="53">
        <f t="shared" si="61"/>
        <v>0</v>
      </c>
      <c r="BB90" s="53">
        <f t="shared" si="61"/>
        <v>0</v>
      </c>
      <c r="BC90" s="53">
        <f t="shared" si="61"/>
        <v>0</v>
      </c>
      <c r="BD90" s="53">
        <f t="shared" si="61"/>
        <v>0</v>
      </c>
      <c r="BE90" s="53">
        <f t="shared" si="61"/>
        <v>0</v>
      </c>
      <c r="BF90" s="53">
        <f t="shared" si="61"/>
        <v>0</v>
      </c>
      <c r="BG90" s="53">
        <f t="shared" si="61"/>
        <v>0</v>
      </c>
      <c r="BH90" s="53">
        <f t="shared" si="61"/>
        <v>0</v>
      </c>
      <c r="BI90" s="53">
        <f t="shared" si="61"/>
        <v>0</v>
      </c>
      <c r="BJ90" s="53">
        <f t="shared" si="61"/>
        <v>0</v>
      </c>
      <c r="BK90" s="53">
        <f t="shared" si="61"/>
        <v>0</v>
      </c>
      <c r="BL90" s="53">
        <f t="shared" si="61"/>
        <v>0</v>
      </c>
      <c r="BM90" s="53">
        <f t="shared" si="61"/>
        <v>0</v>
      </c>
      <c r="BN90" s="53">
        <f t="shared" si="61"/>
        <v>0</v>
      </c>
      <c r="BO90" s="53">
        <f t="shared" si="61"/>
        <v>0</v>
      </c>
      <c r="BP90" s="53">
        <f t="shared" ref="BP90:CP90" si="62">Total_with_scheme_NOx_emissions*Rail_emissions_exceedance*Rail_mask</f>
        <v>0</v>
      </c>
      <c r="BQ90" s="53">
        <f t="shared" si="62"/>
        <v>0</v>
      </c>
      <c r="BR90" s="53">
        <f t="shared" si="62"/>
        <v>0</v>
      </c>
      <c r="BS90" s="53">
        <f t="shared" si="62"/>
        <v>0</v>
      </c>
      <c r="BT90" s="53">
        <f t="shared" si="62"/>
        <v>0</v>
      </c>
      <c r="BU90" s="53">
        <f t="shared" si="62"/>
        <v>0</v>
      </c>
      <c r="BV90" s="53">
        <f t="shared" si="62"/>
        <v>0</v>
      </c>
      <c r="BW90" s="53">
        <f t="shared" si="62"/>
        <v>0</v>
      </c>
      <c r="BX90" s="53">
        <f t="shared" si="62"/>
        <v>0</v>
      </c>
      <c r="BY90" s="53">
        <f t="shared" si="62"/>
        <v>0</v>
      </c>
      <c r="BZ90" s="53">
        <f t="shared" si="62"/>
        <v>0</v>
      </c>
      <c r="CA90" s="53">
        <f t="shared" si="62"/>
        <v>0</v>
      </c>
      <c r="CB90" s="53">
        <f t="shared" si="62"/>
        <v>0</v>
      </c>
      <c r="CC90" s="53">
        <f t="shared" si="62"/>
        <v>0</v>
      </c>
      <c r="CD90" s="53">
        <f t="shared" si="62"/>
        <v>0</v>
      </c>
      <c r="CE90" s="53">
        <f t="shared" si="62"/>
        <v>0</v>
      </c>
      <c r="CF90" s="53">
        <f t="shared" si="62"/>
        <v>0</v>
      </c>
      <c r="CG90" s="53">
        <f t="shared" si="62"/>
        <v>0</v>
      </c>
      <c r="CH90" s="53">
        <f t="shared" si="62"/>
        <v>0</v>
      </c>
      <c r="CI90" s="53">
        <f t="shared" si="62"/>
        <v>0</v>
      </c>
      <c r="CJ90" s="53">
        <f t="shared" si="62"/>
        <v>0</v>
      </c>
      <c r="CK90" s="53">
        <f t="shared" si="62"/>
        <v>0</v>
      </c>
      <c r="CL90" s="53">
        <f t="shared" si="62"/>
        <v>0</v>
      </c>
      <c r="CM90" s="53">
        <f t="shared" si="62"/>
        <v>0</v>
      </c>
      <c r="CN90" s="53">
        <f t="shared" si="62"/>
        <v>0</v>
      </c>
      <c r="CO90" s="53">
        <f t="shared" si="62"/>
        <v>0</v>
      </c>
      <c r="CP90" s="53">
        <f t="shared" si="62"/>
        <v>0</v>
      </c>
      <c r="CQ90" s="52" t="s">
        <v>124</v>
      </c>
    </row>
    <row r="91" spans="1:95" outlineLevel="1" x14ac:dyDescent="0.25">
      <c r="B91" t="s">
        <v>231</v>
      </c>
      <c r="D91" s="53">
        <f t="shared" ref="D91:BO91" si="63">Rail_with_scheme_emissions-Rail_without_scheme_emissions</f>
        <v>0</v>
      </c>
      <c r="E91" s="53">
        <f t="shared" si="63"/>
        <v>0</v>
      </c>
      <c r="F91" s="53">
        <f t="shared" si="63"/>
        <v>0</v>
      </c>
      <c r="G91" s="53">
        <f t="shared" si="63"/>
        <v>0</v>
      </c>
      <c r="H91" s="53">
        <f t="shared" si="63"/>
        <v>0</v>
      </c>
      <c r="I91" s="53">
        <f t="shared" si="63"/>
        <v>0</v>
      </c>
      <c r="J91" s="53">
        <f t="shared" si="63"/>
        <v>0</v>
      </c>
      <c r="K91" s="53">
        <f t="shared" si="63"/>
        <v>0</v>
      </c>
      <c r="L91" s="53">
        <f t="shared" si="63"/>
        <v>0</v>
      </c>
      <c r="M91" s="53">
        <f t="shared" si="63"/>
        <v>0</v>
      </c>
      <c r="N91" s="53">
        <f t="shared" si="63"/>
        <v>0</v>
      </c>
      <c r="O91" s="53">
        <f t="shared" si="63"/>
        <v>0</v>
      </c>
      <c r="P91" s="53">
        <f t="shared" si="63"/>
        <v>0</v>
      </c>
      <c r="Q91" s="53">
        <f t="shared" si="63"/>
        <v>0</v>
      </c>
      <c r="R91" s="53">
        <f t="shared" si="63"/>
        <v>0</v>
      </c>
      <c r="S91" s="53">
        <f t="shared" si="63"/>
        <v>0</v>
      </c>
      <c r="T91" s="53">
        <f t="shared" si="63"/>
        <v>0</v>
      </c>
      <c r="U91" s="53">
        <f t="shared" si="63"/>
        <v>0</v>
      </c>
      <c r="V91" s="53">
        <f t="shared" si="63"/>
        <v>0</v>
      </c>
      <c r="W91" s="53">
        <f t="shared" si="63"/>
        <v>0</v>
      </c>
      <c r="X91" s="53">
        <f t="shared" si="63"/>
        <v>0</v>
      </c>
      <c r="Y91" s="53">
        <f t="shared" si="63"/>
        <v>0</v>
      </c>
      <c r="Z91" s="53">
        <f t="shared" si="63"/>
        <v>0</v>
      </c>
      <c r="AA91" s="53">
        <f t="shared" si="63"/>
        <v>0</v>
      </c>
      <c r="AB91" s="53">
        <f t="shared" si="63"/>
        <v>0</v>
      </c>
      <c r="AC91" s="53">
        <f t="shared" si="63"/>
        <v>0</v>
      </c>
      <c r="AD91" s="53">
        <f t="shared" si="63"/>
        <v>0</v>
      </c>
      <c r="AE91" s="53">
        <f t="shared" si="63"/>
        <v>0</v>
      </c>
      <c r="AF91" s="53">
        <f t="shared" si="63"/>
        <v>0</v>
      </c>
      <c r="AG91" s="53">
        <f t="shared" si="63"/>
        <v>0</v>
      </c>
      <c r="AH91" s="53">
        <f t="shared" si="63"/>
        <v>0</v>
      </c>
      <c r="AI91" s="53">
        <f t="shared" si="63"/>
        <v>0</v>
      </c>
      <c r="AJ91" s="53">
        <f t="shared" si="63"/>
        <v>0</v>
      </c>
      <c r="AK91" s="53">
        <f t="shared" si="63"/>
        <v>0</v>
      </c>
      <c r="AL91" s="53">
        <f t="shared" si="63"/>
        <v>0</v>
      </c>
      <c r="AM91" s="53">
        <f t="shared" si="63"/>
        <v>0</v>
      </c>
      <c r="AN91" s="53">
        <f t="shared" si="63"/>
        <v>0</v>
      </c>
      <c r="AO91" s="53">
        <f t="shared" si="63"/>
        <v>0</v>
      </c>
      <c r="AP91" s="53">
        <f t="shared" si="63"/>
        <v>0</v>
      </c>
      <c r="AQ91" s="53">
        <f t="shared" si="63"/>
        <v>0</v>
      </c>
      <c r="AR91" s="53">
        <f t="shared" si="63"/>
        <v>0</v>
      </c>
      <c r="AS91" s="53">
        <f t="shared" si="63"/>
        <v>0</v>
      </c>
      <c r="AT91" s="53">
        <f t="shared" si="63"/>
        <v>0</v>
      </c>
      <c r="AU91" s="53">
        <f t="shared" si="63"/>
        <v>0</v>
      </c>
      <c r="AV91" s="53">
        <f t="shared" si="63"/>
        <v>0</v>
      </c>
      <c r="AW91" s="53">
        <f t="shared" si="63"/>
        <v>0</v>
      </c>
      <c r="AX91" s="53">
        <f t="shared" si="63"/>
        <v>0</v>
      </c>
      <c r="AY91" s="53">
        <f t="shared" si="63"/>
        <v>0</v>
      </c>
      <c r="AZ91" s="53">
        <f t="shared" si="63"/>
        <v>0</v>
      </c>
      <c r="BA91" s="53">
        <f t="shared" si="63"/>
        <v>0</v>
      </c>
      <c r="BB91" s="53">
        <f t="shared" si="63"/>
        <v>0</v>
      </c>
      <c r="BC91" s="53">
        <f t="shared" si="63"/>
        <v>0</v>
      </c>
      <c r="BD91" s="53">
        <f t="shared" si="63"/>
        <v>0</v>
      </c>
      <c r="BE91" s="53">
        <f t="shared" si="63"/>
        <v>0</v>
      </c>
      <c r="BF91" s="53">
        <f t="shared" si="63"/>
        <v>0</v>
      </c>
      <c r="BG91" s="53">
        <f t="shared" si="63"/>
        <v>0</v>
      </c>
      <c r="BH91" s="53">
        <f t="shared" si="63"/>
        <v>0</v>
      </c>
      <c r="BI91" s="53">
        <f t="shared" si="63"/>
        <v>0</v>
      </c>
      <c r="BJ91" s="53">
        <f t="shared" si="63"/>
        <v>0</v>
      </c>
      <c r="BK91" s="53">
        <f t="shared" si="63"/>
        <v>0</v>
      </c>
      <c r="BL91" s="53">
        <f t="shared" si="63"/>
        <v>0</v>
      </c>
      <c r="BM91" s="53">
        <f t="shared" si="63"/>
        <v>0</v>
      </c>
      <c r="BN91" s="53">
        <f t="shared" si="63"/>
        <v>0</v>
      </c>
      <c r="BO91" s="53">
        <f t="shared" si="63"/>
        <v>0</v>
      </c>
      <c r="BP91" s="53">
        <f t="shared" ref="BP91:CP91" si="64">Rail_with_scheme_emissions-Rail_without_scheme_emissions</f>
        <v>0</v>
      </c>
      <c r="BQ91" s="53">
        <f t="shared" si="64"/>
        <v>0</v>
      </c>
      <c r="BR91" s="53">
        <f t="shared" si="64"/>
        <v>0</v>
      </c>
      <c r="BS91" s="53">
        <f t="shared" si="64"/>
        <v>0</v>
      </c>
      <c r="BT91" s="53">
        <f t="shared" si="64"/>
        <v>0</v>
      </c>
      <c r="BU91" s="53">
        <f t="shared" si="64"/>
        <v>0</v>
      </c>
      <c r="BV91" s="53">
        <f t="shared" si="64"/>
        <v>0</v>
      </c>
      <c r="BW91" s="53">
        <f t="shared" si="64"/>
        <v>0</v>
      </c>
      <c r="BX91" s="53">
        <f t="shared" si="64"/>
        <v>0</v>
      </c>
      <c r="BY91" s="53">
        <f t="shared" si="64"/>
        <v>0</v>
      </c>
      <c r="BZ91" s="53">
        <f t="shared" si="64"/>
        <v>0</v>
      </c>
      <c r="CA91" s="53">
        <f t="shared" si="64"/>
        <v>0</v>
      </c>
      <c r="CB91" s="53">
        <f t="shared" si="64"/>
        <v>0</v>
      </c>
      <c r="CC91" s="53">
        <f t="shared" si="64"/>
        <v>0</v>
      </c>
      <c r="CD91" s="53">
        <f t="shared" si="64"/>
        <v>0</v>
      </c>
      <c r="CE91" s="53">
        <f t="shared" si="64"/>
        <v>0</v>
      </c>
      <c r="CF91" s="53">
        <f t="shared" si="64"/>
        <v>0</v>
      </c>
      <c r="CG91" s="53">
        <f t="shared" si="64"/>
        <v>0</v>
      </c>
      <c r="CH91" s="53">
        <f t="shared" si="64"/>
        <v>0</v>
      </c>
      <c r="CI91" s="53">
        <f t="shared" si="64"/>
        <v>0</v>
      </c>
      <c r="CJ91" s="53">
        <f t="shared" si="64"/>
        <v>0</v>
      </c>
      <c r="CK91" s="53">
        <f t="shared" si="64"/>
        <v>0</v>
      </c>
      <c r="CL91" s="53">
        <f t="shared" si="64"/>
        <v>0</v>
      </c>
      <c r="CM91" s="53">
        <f t="shared" si="64"/>
        <v>0</v>
      </c>
      <c r="CN91" s="53">
        <f t="shared" si="64"/>
        <v>0</v>
      </c>
      <c r="CO91" s="53">
        <f t="shared" si="64"/>
        <v>0</v>
      </c>
      <c r="CP91" s="53">
        <f t="shared" si="64"/>
        <v>0</v>
      </c>
      <c r="CQ91" s="52" t="s">
        <v>172</v>
      </c>
    </row>
    <row r="92" spans="1:95" outlineLevel="1" x14ac:dyDescent="0.25">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row>
    <row r="93" spans="1:95" ht="15.75" outlineLevel="1" x14ac:dyDescent="0.25">
      <c r="A93" s="84"/>
      <c r="B93" s="86" t="s">
        <v>319</v>
      </c>
      <c r="C93" s="84"/>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4"/>
    </row>
    <row r="94" spans="1:95" ht="15.75" outlineLevel="1" x14ac:dyDescent="0.25">
      <c r="A94" s="78"/>
      <c r="B94" s="102"/>
      <c r="C94" s="78"/>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78"/>
    </row>
    <row r="95" spans="1:95" ht="15.75" outlineLevel="1" x14ac:dyDescent="0.25">
      <c r="B95" s="104" t="s">
        <v>197</v>
      </c>
      <c r="D95" s="124">
        <f t="shared" ref="D95:X95" si="65">Custom_emissions_exceedance_in</f>
        <v>0</v>
      </c>
      <c r="E95" s="124">
        <f t="shared" si="65"/>
        <v>0</v>
      </c>
      <c r="F95" s="124">
        <f t="shared" si="65"/>
        <v>0</v>
      </c>
      <c r="G95" s="124">
        <f t="shared" si="65"/>
        <v>0</v>
      </c>
      <c r="H95" s="124">
        <f t="shared" si="65"/>
        <v>0</v>
      </c>
      <c r="I95" s="124">
        <f t="shared" si="65"/>
        <v>0</v>
      </c>
      <c r="J95" s="124">
        <f t="shared" si="65"/>
        <v>0</v>
      </c>
      <c r="K95" s="124">
        <f t="shared" si="65"/>
        <v>0</v>
      </c>
      <c r="L95" s="124">
        <f t="shared" si="65"/>
        <v>0</v>
      </c>
      <c r="M95" s="124">
        <f t="shared" si="65"/>
        <v>0</v>
      </c>
      <c r="N95" s="124">
        <f t="shared" si="65"/>
        <v>0</v>
      </c>
      <c r="O95" s="124">
        <f t="shared" si="65"/>
        <v>0</v>
      </c>
      <c r="P95" s="124">
        <f t="shared" si="65"/>
        <v>0</v>
      </c>
      <c r="Q95" s="124">
        <f t="shared" si="65"/>
        <v>0</v>
      </c>
      <c r="R95" s="124">
        <f t="shared" si="65"/>
        <v>0</v>
      </c>
      <c r="S95" s="124">
        <f t="shared" si="65"/>
        <v>0</v>
      </c>
      <c r="T95" s="124">
        <f t="shared" si="65"/>
        <v>0</v>
      </c>
      <c r="U95" s="124">
        <f t="shared" si="65"/>
        <v>0</v>
      </c>
      <c r="V95" s="124">
        <f t="shared" si="65"/>
        <v>0</v>
      </c>
      <c r="W95" s="124">
        <f t="shared" si="65"/>
        <v>0</v>
      </c>
      <c r="X95" s="124">
        <f t="shared" si="65"/>
        <v>0</v>
      </c>
      <c r="Y95" s="124">
        <v>0</v>
      </c>
      <c r="Z95" s="124">
        <v>0</v>
      </c>
      <c r="AA95" s="124">
        <v>0</v>
      </c>
      <c r="AB95" s="124">
        <v>0</v>
      </c>
      <c r="AC95" s="124">
        <v>0</v>
      </c>
      <c r="AD95" s="124">
        <v>0</v>
      </c>
      <c r="AE95" s="124">
        <v>0</v>
      </c>
      <c r="AF95" s="124">
        <v>0</v>
      </c>
      <c r="AG95" s="124">
        <v>0</v>
      </c>
      <c r="AH95" s="124">
        <v>0</v>
      </c>
      <c r="AI95" s="124">
        <v>0</v>
      </c>
      <c r="AJ95" s="124">
        <v>0</v>
      </c>
      <c r="AK95" s="124">
        <v>0</v>
      </c>
      <c r="AL95" s="124">
        <v>0</v>
      </c>
      <c r="AM95" s="124">
        <v>0</v>
      </c>
      <c r="AN95" s="124">
        <v>0</v>
      </c>
      <c r="AO95" s="124">
        <v>0</v>
      </c>
      <c r="AP95" s="124">
        <v>0</v>
      </c>
      <c r="AQ95" s="124">
        <v>0</v>
      </c>
      <c r="AR95" s="124">
        <v>0</v>
      </c>
      <c r="AS95" s="124">
        <v>0</v>
      </c>
      <c r="AT95" s="124">
        <v>0</v>
      </c>
      <c r="AU95" s="124">
        <v>0</v>
      </c>
      <c r="AV95" s="124">
        <v>0</v>
      </c>
      <c r="AW95" s="124">
        <v>0</v>
      </c>
      <c r="AX95" s="124">
        <v>0</v>
      </c>
      <c r="AY95" s="124">
        <v>0</v>
      </c>
      <c r="AZ95" s="124">
        <v>0</v>
      </c>
      <c r="BA95" s="124">
        <v>0</v>
      </c>
      <c r="BB95" s="124">
        <v>0</v>
      </c>
      <c r="BC95" s="124">
        <v>0</v>
      </c>
      <c r="BD95" s="124">
        <v>0</v>
      </c>
      <c r="BE95" s="124">
        <v>0</v>
      </c>
      <c r="BF95" s="124">
        <v>0</v>
      </c>
      <c r="BG95" s="124">
        <v>0</v>
      </c>
      <c r="BH95" s="124">
        <v>0</v>
      </c>
      <c r="BI95" s="124">
        <v>0</v>
      </c>
      <c r="BJ95" s="124">
        <v>0</v>
      </c>
      <c r="BK95" s="124">
        <v>0</v>
      </c>
      <c r="BL95" s="124">
        <v>0</v>
      </c>
      <c r="BM95" s="124">
        <v>0</v>
      </c>
      <c r="BN95" s="124">
        <v>0</v>
      </c>
      <c r="BO95" s="124">
        <v>0</v>
      </c>
      <c r="BP95" s="124">
        <v>0</v>
      </c>
      <c r="BQ95" s="124">
        <v>0</v>
      </c>
      <c r="BR95" s="124">
        <v>0</v>
      </c>
      <c r="BS95" s="124">
        <v>0</v>
      </c>
      <c r="BT95" s="124">
        <v>0</v>
      </c>
      <c r="BU95" s="124">
        <v>0</v>
      </c>
      <c r="BV95" s="124">
        <v>0</v>
      </c>
      <c r="BW95" s="124">
        <v>0</v>
      </c>
      <c r="BX95" s="124">
        <v>0</v>
      </c>
      <c r="BY95" s="124">
        <v>0</v>
      </c>
      <c r="BZ95" s="124">
        <v>0</v>
      </c>
      <c r="CA95" s="124">
        <v>0</v>
      </c>
      <c r="CB95" s="124">
        <v>0</v>
      </c>
      <c r="CC95" s="124">
        <v>0</v>
      </c>
      <c r="CD95" s="124">
        <v>0</v>
      </c>
      <c r="CE95" s="124">
        <v>0</v>
      </c>
      <c r="CF95" s="124">
        <v>0</v>
      </c>
      <c r="CG95" s="124">
        <v>0</v>
      </c>
      <c r="CH95" s="124">
        <v>0</v>
      </c>
      <c r="CI95" s="124">
        <v>0</v>
      </c>
      <c r="CJ95" s="124">
        <v>0</v>
      </c>
      <c r="CK95" s="124">
        <v>0</v>
      </c>
      <c r="CL95" s="124">
        <v>0</v>
      </c>
      <c r="CM95" s="124">
        <v>0</v>
      </c>
      <c r="CN95" s="124">
        <v>0</v>
      </c>
      <c r="CO95" s="124">
        <v>0</v>
      </c>
      <c r="CP95" s="124">
        <v>0</v>
      </c>
      <c r="CQ95" s="52" t="s">
        <v>130</v>
      </c>
    </row>
    <row r="96" spans="1:95" outlineLevel="1" x14ac:dyDescent="0.25">
      <c r="B96" t="s">
        <v>95</v>
      </c>
      <c r="D96" s="53">
        <f t="shared" ref="D96:BO96" si="66">Total_without_scheme_NOx_emissions*Custom_emissions_exceedance*Custom_mask</f>
        <v>0</v>
      </c>
      <c r="E96" s="53">
        <f t="shared" si="66"/>
        <v>0</v>
      </c>
      <c r="F96" s="53">
        <f t="shared" si="66"/>
        <v>0</v>
      </c>
      <c r="G96" s="53">
        <f t="shared" si="66"/>
        <v>0</v>
      </c>
      <c r="H96" s="53">
        <f t="shared" si="66"/>
        <v>0</v>
      </c>
      <c r="I96" s="53">
        <f t="shared" si="66"/>
        <v>0</v>
      </c>
      <c r="J96" s="53">
        <f t="shared" si="66"/>
        <v>0</v>
      </c>
      <c r="K96" s="53">
        <f t="shared" si="66"/>
        <v>0</v>
      </c>
      <c r="L96" s="53">
        <f t="shared" si="66"/>
        <v>0</v>
      </c>
      <c r="M96" s="53">
        <f t="shared" si="66"/>
        <v>0</v>
      </c>
      <c r="N96" s="53">
        <f t="shared" si="66"/>
        <v>0</v>
      </c>
      <c r="O96" s="53">
        <f t="shared" si="66"/>
        <v>0</v>
      </c>
      <c r="P96" s="53">
        <f t="shared" si="66"/>
        <v>0</v>
      </c>
      <c r="Q96" s="53">
        <f t="shared" si="66"/>
        <v>0</v>
      </c>
      <c r="R96" s="53">
        <f t="shared" si="66"/>
        <v>0</v>
      </c>
      <c r="S96" s="53">
        <f t="shared" si="66"/>
        <v>0</v>
      </c>
      <c r="T96" s="53">
        <f t="shared" si="66"/>
        <v>0</v>
      </c>
      <c r="U96" s="53">
        <f t="shared" si="66"/>
        <v>0</v>
      </c>
      <c r="V96" s="53">
        <f t="shared" si="66"/>
        <v>0</v>
      </c>
      <c r="W96" s="53">
        <f t="shared" si="66"/>
        <v>0</v>
      </c>
      <c r="X96" s="53">
        <f t="shared" si="66"/>
        <v>0</v>
      </c>
      <c r="Y96" s="53">
        <f t="shared" si="66"/>
        <v>0</v>
      </c>
      <c r="Z96" s="53">
        <f t="shared" si="66"/>
        <v>0</v>
      </c>
      <c r="AA96" s="53">
        <f t="shared" si="66"/>
        <v>0</v>
      </c>
      <c r="AB96" s="53">
        <f t="shared" si="66"/>
        <v>0</v>
      </c>
      <c r="AC96" s="53">
        <f t="shared" si="66"/>
        <v>0</v>
      </c>
      <c r="AD96" s="53">
        <f t="shared" si="66"/>
        <v>0</v>
      </c>
      <c r="AE96" s="53">
        <f t="shared" si="66"/>
        <v>0</v>
      </c>
      <c r="AF96" s="53">
        <f t="shared" si="66"/>
        <v>0</v>
      </c>
      <c r="AG96" s="53">
        <f t="shared" si="66"/>
        <v>0</v>
      </c>
      <c r="AH96" s="53">
        <f t="shared" si="66"/>
        <v>0</v>
      </c>
      <c r="AI96" s="53">
        <f t="shared" si="66"/>
        <v>0</v>
      </c>
      <c r="AJ96" s="53">
        <f t="shared" si="66"/>
        <v>0</v>
      </c>
      <c r="AK96" s="53">
        <f t="shared" si="66"/>
        <v>0</v>
      </c>
      <c r="AL96" s="53">
        <f t="shared" si="66"/>
        <v>0</v>
      </c>
      <c r="AM96" s="53">
        <f t="shared" si="66"/>
        <v>0</v>
      </c>
      <c r="AN96" s="53">
        <f t="shared" si="66"/>
        <v>0</v>
      </c>
      <c r="AO96" s="53">
        <f t="shared" si="66"/>
        <v>0</v>
      </c>
      <c r="AP96" s="53">
        <f t="shared" si="66"/>
        <v>0</v>
      </c>
      <c r="AQ96" s="53">
        <f t="shared" si="66"/>
        <v>0</v>
      </c>
      <c r="AR96" s="53">
        <f t="shared" si="66"/>
        <v>0</v>
      </c>
      <c r="AS96" s="53">
        <f t="shared" si="66"/>
        <v>0</v>
      </c>
      <c r="AT96" s="53">
        <f t="shared" si="66"/>
        <v>0</v>
      </c>
      <c r="AU96" s="53">
        <f t="shared" si="66"/>
        <v>0</v>
      </c>
      <c r="AV96" s="53">
        <f t="shared" si="66"/>
        <v>0</v>
      </c>
      <c r="AW96" s="53">
        <f t="shared" si="66"/>
        <v>0</v>
      </c>
      <c r="AX96" s="53">
        <f t="shared" si="66"/>
        <v>0</v>
      </c>
      <c r="AY96" s="53">
        <f t="shared" si="66"/>
        <v>0</v>
      </c>
      <c r="AZ96" s="53">
        <f t="shared" si="66"/>
        <v>0</v>
      </c>
      <c r="BA96" s="53">
        <f t="shared" si="66"/>
        <v>0</v>
      </c>
      <c r="BB96" s="53">
        <f t="shared" si="66"/>
        <v>0</v>
      </c>
      <c r="BC96" s="53">
        <f t="shared" si="66"/>
        <v>0</v>
      </c>
      <c r="BD96" s="53">
        <f t="shared" si="66"/>
        <v>0</v>
      </c>
      <c r="BE96" s="53">
        <f t="shared" si="66"/>
        <v>0</v>
      </c>
      <c r="BF96" s="53">
        <f t="shared" si="66"/>
        <v>0</v>
      </c>
      <c r="BG96" s="53">
        <f t="shared" si="66"/>
        <v>0</v>
      </c>
      <c r="BH96" s="53">
        <f t="shared" si="66"/>
        <v>0</v>
      </c>
      <c r="BI96" s="53">
        <f t="shared" si="66"/>
        <v>0</v>
      </c>
      <c r="BJ96" s="53">
        <f t="shared" si="66"/>
        <v>0</v>
      </c>
      <c r="BK96" s="53">
        <f t="shared" si="66"/>
        <v>0</v>
      </c>
      <c r="BL96" s="53">
        <f t="shared" si="66"/>
        <v>0</v>
      </c>
      <c r="BM96" s="53">
        <f t="shared" si="66"/>
        <v>0</v>
      </c>
      <c r="BN96" s="53">
        <f t="shared" si="66"/>
        <v>0</v>
      </c>
      <c r="BO96" s="53">
        <f t="shared" si="66"/>
        <v>0</v>
      </c>
      <c r="BP96" s="53">
        <f t="shared" ref="BP96:CP96" si="67">Total_without_scheme_NOx_emissions*Custom_emissions_exceedance*Custom_mask</f>
        <v>0</v>
      </c>
      <c r="BQ96" s="53">
        <f t="shared" si="67"/>
        <v>0</v>
      </c>
      <c r="BR96" s="53">
        <f t="shared" si="67"/>
        <v>0</v>
      </c>
      <c r="BS96" s="53">
        <f t="shared" si="67"/>
        <v>0</v>
      </c>
      <c r="BT96" s="53">
        <f t="shared" si="67"/>
        <v>0</v>
      </c>
      <c r="BU96" s="53">
        <f t="shared" si="67"/>
        <v>0</v>
      </c>
      <c r="BV96" s="53">
        <f t="shared" si="67"/>
        <v>0</v>
      </c>
      <c r="BW96" s="53">
        <f t="shared" si="67"/>
        <v>0</v>
      </c>
      <c r="BX96" s="53">
        <f t="shared" si="67"/>
        <v>0</v>
      </c>
      <c r="BY96" s="53">
        <f t="shared" si="67"/>
        <v>0</v>
      </c>
      <c r="BZ96" s="53">
        <f t="shared" si="67"/>
        <v>0</v>
      </c>
      <c r="CA96" s="53">
        <f t="shared" si="67"/>
        <v>0</v>
      </c>
      <c r="CB96" s="53">
        <f t="shared" si="67"/>
        <v>0</v>
      </c>
      <c r="CC96" s="53">
        <f t="shared" si="67"/>
        <v>0</v>
      </c>
      <c r="CD96" s="53">
        <f t="shared" si="67"/>
        <v>0</v>
      </c>
      <c r="CE96" s="53">
        <f t="shared" si="67"/>
        <v>0</v>
      </c>
      <c r="CF96" s="53">
        <f t="shared" si="67"/>
        <v>0</v>
      </c>
      <c r="CG96" s="53">
        <f t="shared" si="67"/>
        <v>0</v>
      </c>
      <c r="CH96" s="53">
        <f t="shared" si="67"/>
        <v>0</v>
      </c>
      <c r="CI96" s="53">
        <f t="shared" si="67"/>
        <v>0</v>
      </c>
      <c r="CJ96" s="53">
        <f t="shared" si="67"/>
        <v>0</v>
      </c>
      <c r="CK96" s="53">
        <f t="shared" si="67"/>
        <v>0</v>
      </c>
      <c r="CL96" s="53">
        <f t="shared" si="67"/>
        <v>0</v>
      </c>
      <c r="CM96" s="53">
        <f t="shared" si="67"/>
        <v>0</v>
      </c>
      <c r="CN96" s="53">
        <f t="shared" si="67"/>
        <v>0</v>
      </c>
      <c r="CO96" s="53">
        <f t="shared" si="67"/>
        <v>0</v>
      </c>
      <c r="CP96" s="53">
        <f t="shared" si="67"/>
        <v>0</v>
      </c>
      <c r="CQ96" s="52" t="s">
        <v>131</v>
      </c>
    </row>
    <row r="97" spans="1:95" outlineLevel="1" x14ac:dyDescent="0.25">
      <c r="B97" t="s">
        <v>96</v>
      </c>
      <c r="D97" s="53">
        <f t="shared" ref="D97:BO97" si="68">Total_with_scheme_NOx_emissions*Custom_emissions_exceedance*Custom_mask</f>
        <v>0</v>
      </c>
      <c r="E97" s="53">
        <f t="shared" si="68"/>
        <v>0</v>
      </c>
      <c r="F97" s="53">
        <f t="shared" si="68"/>
        <v>0</v>
      </c>
      <c r="G97" s="53">
        <f t="shared" si="68"/>
        <v>0</v>
      </c>
      <c r="H97" s="53">
        <f t="shared" si="68"/>
        <v>0</v>
      </c>
      <c r="I97" s="53">
        <f t="shared" si="68"/>
        <v>0</v>
      </c>
      <c r="J97" s="53">
        <f t="shared" si="68"/>
        <v>0</v>
      </c>
      <c r="K97" s="53">
        <f t="shared" si="68"/>
        <v>0</v>
      </c>
      <c r="L97" s="53">
        <f t="shared" si="68"/>
        <v>0</v>
      </c>
      <c r="M97" s="53">
        <f t="shared" si="68"/>
        <v>0</v>
      </c>
      <c r="N97" s="53">
        <f t="shared" si="68"/>
        <v>0</v>
      </c>
      <c r="O97" s="53">
        <f t="shared" si="68"/>
        <v>0</v>
      </c>
      <c r="P97" s="53">
        <f t="shared" si="68"/>
        <v>0</v>
      </c>
      <c r="Q97" s="53">
        <f t="shared" si="68"/>
        <v>0</v>
      </c>
      <c r="R97" s="53">
        <f t="shared" si="68"/>
        <v>0</v>
      </c>
      <c r="S97" s="53">
        <f t="shared" si="68"/>
        <v>0</v>
      </c>
      <c r="T97" s="53">
        <f t="shared" si="68"/>
        <v>0</v>
      </c>
      <c r="U97" s="53">
        <f t="shared" si="68"/>
        <v>0</v>
      </c>
      <c r="V97" s="53">
        <f t="shared" si="68"/>
        <v>0</v>
      </c>
      <c r="W97" s="53">
        <f t="shared" si="68"/>
        <v>0</v>
      </c>
      <c r="X97" s="53">
        <f t="shared" si="68"/>
        <v>0</v>
      </c>
      <c r="Y97" s="53">
        <f t="shared" si="68"/>
        <v>0</v>
      </c>
      <c r="Z97" s="53">
        <f t="shared" si="68"/>
        <v>0</v>
      </c>
      <c r="AA97" s="53">
        <f t="shared" si="68"/>
        <v>0</v>
      </c>
      <c r="AB97" s="53">
        <f t="shared" si="68"/>
        <v>0</v>
      </c>
      <c r="AC97" s="53">
        <f t="shared" si="68"/>
        <v>0</v>
      </c>
      <c r="AD97" s="53">
        <f t="shared" si="68"/>
        <v>0</v>
      </c>
      <c r="AE97" s="53">
        <f t="shared" si="68"/>
        <v>0</v>
      </c>
      <c r="AF97" s="53">
        <f t="shared" si="68"/>
        <v>0</v>
      </c>
      <c r="AG97" s="53">
        <f t="shared" si="68"/>
        <v>0</v>
      </c>
      <c r="AH97" s="53">
        <f t="shared" si="68"/>
        <v>0</v>
      </c>
      <c r="AI97" s="53">
        <f t="shared" si="68"/>
        <v>0</v>
      </c>
      <c r="AJ97" s="53">
        <f t="shared" si="68"/>
        <v>0</v>
      </c>
      <c r="AK97" s="53">
        <f t="shared" si="68"/>
        <v>0</v>
      </c>
      <c r="AL97" s="53">
        <f t="shared" si="68"/>
        <v>0</v>
      </c>
      <c r="AM97" s="53">
        <f t="shared" si="68"/>
        <v>0</v>
      </c>
      <c r="AN97" s="53">
        <f t="shared" si="68"/>
        <v>0</v>
      </c>
      <c r="AO97" s="53">
        <f t="shared" si="68"/>
        <v>0</v>
      </c>
      <c r="AP97" s="53">
        <f t="shared" si="68"/>
        <v>0</v>
      </c>
      <c r="AQ97" s="53">
        <f t="shared" si="68"/>
        <v>0</v>
      </c>
      <c r="AR97" s="53">
        <f t="shared" si="68"/>
        <v>0</v>
      </c>
      <c r="AS97" s="53">
        <f t="shared" si="68"/>
        <v>0</v>
      </c>
      <c r="AT97" s="53">
        <f t="shared" si="68"/>
        <v>0</v>
      </c>
      <c r="AU97" s="53">
        <f t="shared" si="68"/>
        <v>0</v>
      </c>
      <c r="AV97" s="53">
        <f t="shared" si="68"/>
        <v>0</v>
      </c>
      <c r="AW97" s="53">
        <f t="shared" si="68"/>
        <v>0</v>
      </c>
      <c r="AX97" s="53">
        <f t="shared" si="68"/>
        <v>0</v>
      </c>
      <c r="AY97" s="53">
        <f t="shared" si="68"/>
        <v>0</v>
      </c>
      <c r="AZ97" s="53">
        <f t="shared" si="68"/>
        <v>0</v>
      </c>
      <c r="BA97" s="53">
        <f t="shared" si="68"/>
        <v>0</v>
      </c>
      <c r="BB97" s="53">
        <f t="shared" si="68"/>
        <v>0</v>
      </c>
      <c r="BC97" s="53">
        <f t="shared" si="68"/>
        <v>0</v>
      </c>
      <c r="BD97" s="53">
        <f t="shared" si="68"/>
        <v>0</v>
      </c>
      <c r="BE97" s="53">
        <f t="shared" si="68"/>
        <v>0</v>
      </c>
      <c r="BF97" s="53">
        <f t="shared" si="68"/>
        <v>0</v>
      </c>
      <c r="BG97" s="53">
        <f t="shared" si="68"/>
        <v>0</v>
      </c>
      <c r="BH97" s="53">
        <f t="shared" si="68"/>
        <v>0</v>
      </c>
      <c r="BI97" s="53">
        <f t="shared" si="68"/>
        <v>0</v>
      </c>
      <c r="BJ97" s="53">
        <f t="shared" si="68"/>
        <v>0</v>
      </c>
      <c r="BK97" s="53">
        <f t="shared" si="68"/>
        <v>0</v>
      </c>
      <c r="BL97" s="53">
        <f t="shared" si="68"/>
        <v>0</v>
      </c>
      <c r="BM97" s="53">
        <f t="shared" si="68"/>
        <v>0</v>
      </c>
      <c r="BN97" s="53">
        <f t="shared" si="68"/>
        <v>0</v>
      </c>
      <c r="BO97" s="53">
        <f t="shared" si="68"/>
        <v>0</v>
      </c>
      <c r="BP97" s="53">
        <f t="shared" ref="BP97:CP97" si="69">Total_with_scheme_NOx_emissions*Custom_emissions_exceedance*Custom_mask</f>
        <v>0</v>
      </c>
      <c r="BQ97" s="53">
        <f t="shared" si="69"/>
        <v>0</v>
      </c>
      <c r="BR97" s="53">
        <f t="shared" si="69"/>
        <v>0</v>
      </c>
      <c r="BS97" s="53">
        <f t="shared" si="69"/>
        <v>0</v>
      </c>
      <c r="BT97" s="53">
        <f t="shared" si="69"/>
        <v>0</v>
      </c>
      <c r="BU97" s="53">
        <f t="shared" si="69"/>
        <v>0</v>
      </c>
      <c r="BV97" s="53">
        <f t="shared" si="69"/>
        <v>0</v>
      </c>
      <c r="BW97" s="53">
        <f t="shared" si="69"/>
        <v>0</v>
      </c>
      <c r="BX97" s="53">
        <f t="shared" si="69"/>
        <v>0</v>
      </c>
      <c r="BY97" s="53">
        <f t="shared" si="69"/>
        <v>0</v>
      </c>
      <c r="BZ97" s="53">
        <f t="shared" si="69"/>
        <v>0</v>
      </c>
      <c r="CA97" s="53">
        <f t="shared" si="69"/>
        <v>0</v>
      </c>
      <c r="CB97" s="53">
        <f t="shared" si="69"/>
        <v>0</v>
      </c>
      <c r="CC97" s="53">
        <f t="shared" si="69"/>
        <v>0</v>
      </c>
      <c r="CD97" s="53">
        <f t="shared" si="69"/>
        <v>0</v>
      </c>
      <c r="CE97" s="53">
        <f t="shared" si="69"/>
        <v>0</v>
      </c>
      <c r="CF97" s="53">
        <f t="shared" si="69"/>
        <v>0</v>
      </c>
      <c r="CG97" s="53">
        <f t="shared" si="69"/>
        <v>0</v>
      </c>
      <c r="CH97" s="53">
        <f t="shared" si="69"/>
        <v>0</v>
      </c>
      <c r="CI97" s="53">
        <f t="shared" si="69"/>
        <v>0</v>
      </c>
      <c r="CJ97" s="53">
        <f t="shared" si="69"/>
        <v>0</v>
      </c>
      <c r="CK97" s="53">
        <f t="shared" si="69"/>
        <v>0</v>
      </c>
      <c r="CL97" s="53">
        <f t="shared" si="69"/>
        <v>0</v>
      </c>
      <c r="CM97" s="53">
        <f t="shared" si="69"/>
        <v>0</v>
      </c>
      <c r="CN97" s="53">
        <f t="shared" si="69"/>
        <v>0</v>
      </c>
      <c r="CO97" s="53">
        <f t="shared" si="69"/>
        <v>0</v>
      </c>
      <c r="CP97" s="53">
        <f t="shared" si="69"/>
        <v>0</v>
      </c>
      <c r="CQ97" s="52" t="s">
        <v>132</v>
      </c>
    </row>
    <row r="98" spans="1:95" outlineLevel="1" x14ac:dyDescent="0.25">
      <c r="B98" t="s">
        <v>176</v>
      </c>
      <c r="D98" s="53">
        <f t="shared" ref="D98:BO98" si="70">Custom_with_scheme_emissions-Custom_without_scheme_emissions</f>
        <v>0</v>
      </c>
      <c r="E98" s="53">
        <f t="shared" si="70"/>
        <v>0</v>
      </c>
      <c r="F98" s="53">
        <f t="shared" si="70"/>
        <v>0</v>
      </c>
      <c r="G98" s="53">
        <f t="shared" si="70"/>
        <v>0</v>
      </c>
      <c r="H98" s="53">
        <f t="shared" si="70"/>
        <v>0</v>
      </c>
      <c r="I98" s="53">
        <f t="shared" si="70"/>
        <v>0</v>
      </c>
      <c r="J98" s="53">
        <f t="shared" si="70"/>
        <v>0</v>
      </c>
      <c r="K98" s="53">
        <f t="shared" si="70"/>
        <v>0</v>
      </c>
      <c r="L98" s="53">
        <f t="shared" si="70"/>
        <v>0</v>
      </c>
      <c r="M98" s="53">
        <f t="shared" si="70"/>
        <v>0</v>
      </c>
      <c r="N98" s="53">
        <f t="shared" si="70"/>
        <v>0</v>
      </c>
      <c r="O98" s="53">
        <f t="shared" si="70"/>
        <v>0</v>
      </c>
      <c r="P98" s="53">
        <f t="shared" si="70"/>
        <v>0</v>
      </c>
      <c r="Q98" s="53">
        <f t="shared" si="70"/>
        <v>0</v>
      </c>
      <c r="R98" s="53">
        <f t="shared" si="70"/>
        <v>0</v>
      </c>
      <c r="S98" s="53">
        <f t="shared" si="70"/>
        <v>0</v>
      </c>
      <c r="T98" s="53">
        <f t="shared" si="70"/>
        <v>0</v>
      </c>
      <c r="U98" s="53">
        <f t="shared" si="70"/>
        <v>0</v>
      </c>
      <c r="V98" s="53">
        <f t="shared" si="70"/>
        <v>0</v>
      </c>
      <c r="W98" s="53">
        <f t="shared" si="70"/>
        <v>0</v>
      </c>
      <c r="X98" s="53">
        <f t="shared" si="70"/>
        <v>0</v>
      </c>
      <c r="Y98" s="53">
        <f t="shared" si="70"/>
        <v>0</v>
      </c>
      <c r="Z98" s="53">
        <f t="shared" si="70"/>
        <v>0</v>
      </c>
      <c r="AA98" s="53">
        <f t="shared" si="70"/>
        <v>0</v>
      </c>
      <c r="AB98" s="53">
        <f t="shared" si="70"/>
        <v>0</v>
      </c>
      <c r="AC98" s="53">
        <f t="shared" si="70"/>
        <v>0</v>
      </c>
      <c r="AD98" s="53">
        <f t="shared" si="70"/>
        <v>0</v>
      </c>
      <c r="AE98" s="53">
        <f t="shared" si="70"/>
        <v>0</v>
      </c>
      <c r="AF98" s="53">
        <f t="shared" si="70"/>
        <v>0</v>
      </c>
      <c r="AG98" s="53">
        <f t="shared" si="70"/>
        <v>0</v>
      </c>
      <c r="AH98" s="53">
        <f t="shared" si="70"/>
        <v>0</v>
      </c>
      <c r="AI98" s="53">
        <f t="shared" si="70"/>
        <v>0</v>
      </c>
      <c r="AJ98" s="53">
        <f t="shared" si="70"/>
        <v>0</v>
      </c>
      <c r="AK98" s="53">
        <f t="shared" si="70"/>
        <v>0</v>
      </c>
      <c r="AL98" s="53">
        <f t="shared" si="70"/>
        <v>0</v>
      </c>
      <c r="AM98" s="53">
        <f t="shared" si="70"/>
        <v>0</v>
      </c>
      <c r="AN98" s="53">
        <f t="shared" si="70"/>
        <v>0</v>
      </c>
      <c r="AO98" s="53">
        <f t="shared" si="70"/>
        <v>0</v>
      </c>
      <c r="AP98" s="53">
        <f t="shared" si="70"/>
        <v>0</v>
      </c>
      <c r="AQ98" s="53">
        <f t="shared" si="70"/>
        <v>0</v>
      </c>
      <c r="AR98" s="53">
        <f t="shared" si="70"/>
        <v>0</v>
      </c>
      <c r="AS98" s="53">
        <f t="shared" si="70"/>
        <v>0</v>
      </c>
      <c r="AT98" s="53">
        <f t="shared" si="70"/>
        <v>0</v>
      </c>
      <c r="AU98" s="53">
        <f t="shared" si="70"/>
        <v>0</v>
      </c>
      <c r="AV98" s="53">
        <f t="shared" si="70"/>
        <v>0</v>
      </c>
      <c r="AW98" s="53">
        <f t="shared" si="70"/>
        <v>0</v>
      </c>
      <c r="AX98" s="53">
        <f t="shared" si="70"/>
        <v>0</v>
      </c>
      <c r="AY98" s="53">
        <f t="shared" si="70"/>
        <v>0</v>
      </c>
      <c r="AZ98" s="53">
        <f t="shared" si="70"/>
        <v>0</v>
      </c>
      <c r="BA98" s="53">
        <f t="shared" si="70"/>
        <v>0</v>
      </c>
      <c r="BB98" s="53">
        <f t="shared" si="70"/>
        <v>0</v>
      </c>
      <c r="BC98" s="53">
        <f t="shared" si="70"/>
        <v>0</v>
      </c>
      <c r="BD98" s="53">
        <f t="shared" si="70"/>
        <v>0</v>
      </c>
      <c r="BE98" s="53">
        <f t="shared" si="70"/>
        <v>0</v>
      </c>
      <c r="BF98" s="53">
        <f t="shared" si="70"/>
        <v>0</v>
      </c>
      <c r="BG98" s="53">
        <f t="shared" si="70"/>
        <v>0</v>
      </c>
      <c r="BH98" s="53">
        <f t="shared" si="70"/>
        <v>0</v>
      </c>
      <c r="BI98" s="53">
        <f t="shared" si="70"/>
        <v>0</v>
      </c>
      <c r="BJ98" s="53">
        <f t="shared" si="70"/>
        <v>0</v>
      </c>
      <c r="BK98" s="53">
        <f t="shared" si="70"/>
        <v>0</v>
      </c>
      <c r="BL98" s="53">
        <f t="shared" si="70"/>
        <v>0</v>
      </c>
      <c r="BM98" s="53">
        <f t="shared" si="70"/>
        <v>0</v>
      </c>
      <c r="BN98" s="53">
        <f t="shared" si="70"/>
        <v>0</v>
      </c>
      <c r="BO98" s="53">
        <f t="shared" si="70"/>
        <v>0</v>
      </c>
      <c r="BP98" s="53">
        <f t="shared" ref="BP98:CP98" si="71">Custom_with_scheme_emissions-Custom_without_scheme_emissions</f>
        <v>0</v>
      </c>
      <c r="BQ98" s="53">
        <f t="shared" si="71"/>
        <v>0</v>
      </c>
      <c r="BR98" s="53">
        <f t="shared" si="71"/>
        <v>0</v>
      </c>
      <c r="BS98" s="53">
        <f t="shared" si="71"/>
        <v>0</v>
      </c>
      <c r="BT98" s="53">
        <f t="shared" si="71"/>
        <v>0</v>
      </c>
      <c r="BU98" s="53">
        <f t="shared" si="71"/>
        <v>0</v>
      </c>
      <c r="BV98" s="53">
        <f t="shared" si="71"/>
        <v>0</v>
      </c>
      <c r="BW98" s="53">
        <f t="shared" si="71"/>
        <v>0</v>
      </c>
      <c r="BX98" s="53">
        <f t="shared" si="71"/>
        <v>0</v>
      </c>
      <c r="BY98" s="53">
        <f t="shared" si="71"/>
        <v>0</v>
      </c>
      <c r="BZ98" s="53">
        <f t="shared" si="71"/>
        <v>0</v>
      </c>
      <c r="CA98" s="53">
        <f t="shared" si="71"/>
        <v>0</v>
      </c>
      <c r="CB98" s="53">
        <f t="shared" si="71"/>
        <v>0</v>
      </c>
      <c r="CC98" s="53">
        <f t="shared" si="71"/>
        <v>0</v>
      </c>
      <c r="CD98" s="53">
        <f t="shared" si="71"/>
        <v>0</v>
      </c>
      <c r="CE98" s="53">
        <f t="shared" si="71"/>
        <v>0</v>
      </c>
      <c r="CF98" s="53">
        <f t="shared" si="71"/>
        <v>0</v>
      </c>
      <c r="CG98" s="53">
        <f t="shared" si="71"/>
        <v>0</v>
      </c>
      <c r="CH98" s="53">
        <f t="shared" si="71"/>
        <v>0</v>
      </c>
      <c r="CI98" s="53">
        <f t="shared" si="71"/>
        <v>0</v>
      </c>
      <c r="CJ98" s="53">
        <f t="shared" si="71"/>
        <v>0</v>
      </c>
      <c r="CK98" s="53">
        <f t="shared" si="71"/>
        <v>0</v>
      </c>
      <c r="CL98" s="53">
        <f t="shared" si="71"/>
        <v>0</v>
      </c>
      <c r="CM98" s="53">
        <f t="shared" si="71"/>
        <v>0</v>
      </c>
      <c r="CN98" s="53">
        <f t="shared" si="71"/>
        <v>0</v>
      </c>
      <c r="CO98" s="53">
        <f t="shared" si="71"/>
        <v>0</v>
      </c>
      <c r="CP98" s="53">
        <f t="shared" si="71"/>
        <v>0</v>
      </c>
      <c r="CQ98" s="62" t="s">
        <v>173</v>
      </c>
    </row>
    <row r="99" spans="1:95" outlineLevel="1" x14ac:dyDescent="0.25">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62"/>
    </row>
    <row r="100" spans="1:95" ht="15.75" outlineLevel="1" x14ac:dyDescent="0.25">
      <c r="A100" s="86"/>
      <c r="B100" s="86" t="s">
        <v>199</v>
      </c>
      <c r="C100" s="86"/>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5"/>
    </row>
    <row r="101" spans="1:95" ht="15.75" outlineLevel="1" x14ac:dyDescent="0.25">
      <c r="A101" s="102"/>
      <c r="B101" s="102"/>
      <c r="C101" s="102"/>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50"/>
    </row>
    <row r="102" spans="1:95" ht="15.75" outlineLevel="1" x14ac:dyDescent="0.25">
      <c r="A102" s="102"/>
      <c r="B102" s="102"/>
      <c r="C102" s="102"/>
      <c r="D102" s="169">
        <v>2010</v>
      </c>
      <c r="E102" s="169">
        <v>2011</v>
      </c>
      <c r="F102" s="169">
        <v>2012</v>
      </c>
      <c r="G102" s="169">
        <v>2013</v>
      </c>
      <c r="H102" s="169">
        <v>2014</v>
      </c>
      <c r="I102" s="169">
        <v>2015</v>
      </c>
      <c r="J102" s="169">
        <v>2016</v>
      </c>
      <c r="K102" s="169">
        <v>2017</v>
      </c>
      <c r="L102" s="169">
        <v>2018</v>
      </c>
      <c r="M102" s="169">
        <v>2019</v>
      </c>
      <c r="N102" s="169">
        <v>2020</v>
      </c>
      <c r="O102" s="169">
        <v>2021</v>
      </c>
      <c r="P102" s="169">
        <v>2022</v>
      </c>
      <c r="Q102" s="169">
        <v>2023</v>
      </c>
      <c r="R102" s="169">
        <v>2024</v>
      </c>
      <c r="S102" s="169">
        <v>2025</v>
      </c>
      <c r="T102" s="169">
        <v>2026</v>
      </c>
      <c r="U102" s="169">
        <v>2027</v>
      </c>
      <c r="V102" s="169">
        <v>2028</v>
      </c>
      <c r="W102" s="169">
        <v>2029</v>
      </c>
      <c r="X102" s="169">
        <v>2030</v>
      </c>
      <c r="Y102" s="169">
        <v>2031</v>
      </c>
      <c r="Z102" s="169">
        <v>2032</v>
      </c>
      <c r="AA102" s="169">
        <v>2033</v>
      </c>
      <c r="AB102" s="169">
        <v>2034</v>
      </c>
      <c r="AC102" s="169">
        <v>2035</v>
      </c>
      <c r="AD102" s="169">
        <v>2036</v>
      </c>
      <c r="AE102" s="169">
        <v>2037</v>
      </c>
      <c r="AF102" s="169">
        <v>2038</v>
      </c>
      <c r="AG102" s="169">
        <v>2039</v>
      </c>
      <c r="AH102" s="169">
        <v>2040</v>
      </c>
      <c r="AI102" s="169">
        <v>2041</v>
      </c>
      <c r="AJ102" s="169">
        <v>2042</v>
      </c>
      <c r="AK102" s="169">
        <v>2043</v>
      </c>
      <c r="AL102" s="169">
        <v>2044</v>
      </c>
      <c r="AM102" s="169">
        <v>2045</v>
      </c>
      <c r="AN102" s="169">
        <v>2046</v>
      </c>
      <c r="AO102" s="169">
        <v>2047</v>
      </c>
      <c r="AP102" s="169">
        <v>2048</v>
      </c>
      <c r="AQ102" s="169">
        <v>2049</v>
      </c>
      <c r="AR102" s="169">
        <v>2050</v>
      </c>
      <c r="AS102" s="169">
        <v>2051</v>
      </c>
      <c r="AT102" s="169">
        <v>2052</v>
      </c>
      <c r="AU102" s="169">
        <v>2053</v>
      </c>
      <c r="AV102" s="169">
        <v>2054</v>
      </c>
      <c r="AW102" s="169">
        <v>2055</v>
      </c>
      <c r="AX102" s="169">
        <v>2056</v>
      </c>
      <c r="AY102" s="169">
        <v>2057</v>
      </c>
      <c r="AZ102" s="169">
        <v>2058</v>
      </c>
      <c r="BA102" s="169">
        <v>2059</v>
      </c>
      <c r="BB102" s="169">
        <v>2060</v>
      </c>
      <c r="BC102" s="169">
        <v>2061</v>
      </c>
      <c r="BD102" s="169">
        <v>2062</v>
      </c>
      <c r="BE102" s="169">
        <v>2063</v>
      </c>
      <c r="BF102" s="169">
        <v>2064</v>
      </c>
      <c r="BG102" s="169">
        <v>2065</v>
      </c>
      <c r="BH102" s="169">
        <v>2066</v>
      </c>
      <c r="BI102" s="169">
        <v>2067</v>
      </c>
      <c r="BJ102" s="169">
        <v>2068</v>
      </c>
      <c r="BK102" s="169">
        <v>2069</v>
      </c>
      <c r="BL102" s="169">
        <v>2070</v>
      </c>
      <c r="BM102" s="169">
        <v>2071</v>
      </c>
      <c r="BN102" s="169">
        <v>2072</v>
      </c>
      <c r="BO102" s="169">
        <v>2073</v>
      </c>
      <c r="BP102" s="169">
        <v>2074</v>
      </c>
      <c r="BQ102" s="169">
        <v>2075</v>
      </c>
      <c r="BR102" s="169">
        <v>2076</v>
      </c>
      <c r="BS102" s="169">
        <v>2077</v>
      </c>
      <c r="BT102" s="169">
        <v>2078</v>
      </c>
      <c r="BU102" s="169">
        <v>2079</v>
      </c>
      <c r="BV102" s="169">
        <v>2080</v>
      </c>
      <c r="BW102" s="169">
        <v>2081</v>
      </c>
      <c r="BX102" s="169">
        <v>2082</v>
      </c>
      <c r="BY102" s="169">
        <v>2083</v>
      </c>
      <c r="BZ102" s="169">
        <v>2084</v>
      </c>
      <c r="CA102" s="169">
        <v>2085</v>
      </c>
      <c r="CB102" s="169">
        <v>2086</v>
      </c>
      <c r="CC102" s="169">
        <v>2087</v>
      </c>
      <c r="CD102" s="169">
        <v>2088</v>
      </c>
      <c r="CE102" s="169">
        <v>2089</v>
      </c>
      <c r="CF102" s="169">
        <v>2090</v>
      </c>
      <c r="CG102" s="169">
        <v>2091</v>
      </c>
      <c r="CH102" s="169">
        <v>2092</v>
      </c>
      <c r="CI102" s="169">
        <v>2093</v>
      </c>
      <c r="CJ102" s="169">
        <v>2094</v>
      </c>
      <c r="CK102" s="169">
        <v>2095</v>
      </c>
      <c r="CL102" s="169">
        <v>2096</v>
      </c>
      <c r="CM102" s="169">
        <v>2097</v>
      </c>
      <c r="CN102" s="169">
        <v>2098</v>
      </c>
      <c r="CO102" s="169">
        <v>2099</v>
      </c>
      <c r="CP102" s="169">
        <v>2100</v>
      </c>
      <c r="CQ102" s="150"/>
    </row>
    <row r="103" spans="1:95" ht="15.75" outlineLevel="1" x14ac:dyDescent="0.25">
      <c r="A103" s="102"/>
      <c r="B103" s="147" t="s">
        <v>77</v>
      </c>
      <c r="C103" s="102"/>
      <c r="D103" s="149">
        <f t="shared" ref="D103:BO103" si="72">Urban_without_scheme_emissions+National_without_scheme_emissions+Rail_without_scheme_emissions+Custom_without_scheme_emissions</f>
        <v>0</v>
      </c>
      <c r="E103" s="149">
        <f t="shared" si="72"/>
        <v>0</v>
      </c>
      <c r="F103" s="149">
        <f t="shared" si="72"/>
        <v>0</v>
      </c>
      <c r="G103" s="149">
        <f t="shared" si="72"/>
        <v>0</v>
      </c>
      <c r="H103" s="149">
        <f t="shared" si="72"/>
        <v>0</v>
      </c>
      <c r="I103" s="149">
        <f t="shared" si="72"/>
        <v>0</v>
      </c>
      <c r="J103" s="149">
        <f t="shared" si="72"/>
        <v>0</v>
      </c>
      <c r="K103" s="149">
        <f t="shared" si="72"/>
        <v>0</v>
      </c>
      <c r="L103" s="149">
        <f t="shared" si="72"/>
        <v>0</v>
      </c>
      <c r="M103" s="149">
        <f t="shared" si="72"/>
        <v>0</v>
      </c>
      <c r="N103" s="149">
        <f t="shared" si="72"/>
        <v>0</v>
      </c>
      <c r="O103" s="149">
        <f t="shared" si="72"/>
        <v>0</v>
      </c>
      <c r="P103" s="149">
        <f t="shared" si="72"/>
        <v>0</v>
      </c>
      <c r="Q103" s="149">
        <f t="shared" si="72"/>
        <v>0</v>
      </c>
      <c r="R103" s="149">
        <f t="shared" si="72"/>
        <v>0</v>
      </c>
      <c r="S103" s="149">
        <f t="shared" si="72"/>
        <v>0</v>
      </c>
      <c r="T103" s="149">
        <f t="shared" si="72"/>
        <v>0</v>
      </c>
      <c r="U103" s="149">
        <f t="shared" si="72"/>
        <v>0</v>
      </c>
      <c r="V103" s="149">
        <f t="shared" si="72"/>
        <v>0</v>
      </c>
      <c r="W103" s="149">
        <f t="shared" si="72"/>
        <v>0</v>
      </c>
      <c r="X103" s="149">
        <f t="shared" si="72"/>
        <v>0</v>
      </c>
      <c r="Y103" s="149">
        <f t="shared" si="72"/>
        <v>0</v>
      </c>
      <c r="Z103" s="149">
        <f t="shared" si="72"/>
        <v>0</v>
      </c>
      <c r="AA103" s="149">
        <f t="shared" si="72"/>
        <v>0</v>
      </c>
      <c r="AB103" s="149">
        <f t="shared" si="72"/>
        <v>0</v>
      </c>
      <c r="AC103" s="149">
        <f t="shared" si="72"/>
        <v>0</v>
      </c>
      <c r="AD103" s="149">
        <f t="shared" si="72"/>
        <v>0</v>
      </c>
      <c r="AE103" s="149">
        <f t="shared" si="72"/>
        <v>0</v>
      </c>
      <c r="AF103" s="149">
        <f t="shared" si="72"/>
        <v>0</v>
      </c>
      <c r="AG103" s="149">
        <f t="shared" si="72"/>
        <v>0</v>
      </c>
      <c r="AH103" s="149">
        <f t="shared" si="72"/>
        <v>0</v>
      </c>
      <c r="AI103" s="149">
        <f t="shared" si="72"/>
        <v>0</v>
      </c>
      <c r="AJ103" s="149">
        <f t="shared" si="72"/>
        <v>0</v>
      </c>
      <c r="AK103" s="149">
        <f t="shared" si="72"/>
        <v>0</v>
      </c>
      <c r="AL103" s="149">
        <f t="shared" si="72"/>
        <v>0</v>
      </c>
      <c r="AM103" s="149">
        <f t="shared" si="72"/>
        <v>0</v>
      </c>
      <c r="AN103" s="149">
        <f t="shared" si="72"/>
        <v>0</v>
      </c>
      <c r="AO103" s="149">
        <f t="shared" si="72"/>
        <v>0</v>
      </c>
      <c r="AP103" s="149">
        <f t="shared" si="72"/>
        <v>0</v>
      </c>
      <c r="AQ103" s="149">
        <f t="shared" si="72"/>
        <v>0</v>
      </c>
      <c r="AR103" s="149">
        <f t="shared" si="72"/>
        <v>0</v>
      </c>
      <c r="AS103" s="149">
        <f t="shared" si="72"/>
        <v>0</v>
      </c>
      <c r="AT103" s="149">
        <f t="shared" si="72"/>
        <v>0</v>
      </c>
      <c r="AU103" s="149">
        <f t="shared" si="72"/>
        <v>0</v>
      </c>
      <c r="AV103" s="149">
        <f t="shared" si="72"/>
        <v>0</v>
      </c>
      <c r="AW103" s="149">
        <f t="shared" si="72"/>
        <v>0</v>
      </c>
      <c r="AX103" s="149">
        <f t="shared" si="72"/>
        <v>0</v>
      </c>
      <c r="AY103" s="149">
        <f t="shared" si="72"/>
        <v>0</v>
      </c>
      <c r="AZ103" s="149">
        <f t="shared" si="72"/>
        <v>0</v>
      </c>
      <c r="BA103" s="149">
        <f t="shared" si="72"/>
        <v>0</v>
      </c>
      <c r="BB103" s="149">
        <f t="shared" si="72"/>
        <v>0</v>
      </c>
      <c r="BC103" s="149">
        <f t="shared" si="72"/>
        <v>0</v>
      </c>
      <c r="BD103" s="149">
        <f t="shared" si="72"/>
        <v>0</v>
      </c>
      <c r="BE103" s="149">
        <f t="shared" si="72"/>
        <v>0</v>
      </c>
      <c r="BF103" s="149">
        <f t="shared" si="72"/>
        <v>0</v>
      </c>
      <c r="BG103" s="149">
        <f t="shared" si="72"/>
        <v>0</v>
      </c>
      <c r="BH103" s="149">
        <f t="shared" si="72"/>
        <v>0</v>
      </c>
      <c r="BI103" s="149">
        <f t="shared" si="72"/>
        <v>0</v>
      </c>
      <c r="BJ103" s="149">
        <f t="shared" si="72"/>
        <v>0</v>
      </c>
      <c r="BK103" s="149">
        <f t="shared" si="72"/>
        <v>0</v>
      </c>
      <c r="BL103" s="149">
        <f t="shared" si="72"/>
        <v>0</v>
      </c>
      <c r="BM103" s="149">
        <f t="shared" si="72"/>
        <v>0</v>
      </c>
      <c r="BN103" s="149">
        <f t="shared" si="72"/>
        <v>0</v>
      </c>
      <c r="BO103" s="149">
        <f t="shared" si="72"/>
        <v>0</v>
      </c>
      <c r="BP103" s="149">
        <f t="shared" ref="BP103:CP103" si="73">Urban_without_scheme_emissions+National_without_scheme_emissions+Rail_without_scheme_emissions+Custom_without_scheme_emissions</f>
        <v>0</v>
      </c>
      <c r="BQ103" s="149">
        <f t="shared" si="73"/>
        <v>0</v>
      </c>
      <c r="BR103" s="149">
        <f t="shared" si="73"/>
        <v>0</v>
      </c>
      <c r="BS103" s="149">
        <f t="shared" si="73"/>
        <v>0</v>
      </c>
      <c r="BT103" s="149">
        <f t="shared" si="73"/>
        <v>0</v>
      </c>
      <c r="BU103" s="149">
        <f t="shared" si="73"/>
        <v>0</v>
      </c>
      <c r="BV103" s="149">
        <f t="shared" si="73"/>
        <v>0</v>
      </c>
      <c r="BW103" s="149">
        <f t="shared" si="73"/>
        <v>0</v>
      </c>
      <c r="BX103" s="149">
        <f t="shared" si="73"/>
        <v>0</v>
      </c>
      <c r="BY103" s="149">
        <f t="shared" si="73"/>
        <v>0</v>
      </c>
      <c r="BZ103" s="149">
        <f t="shared" si="73"/>
        <v>0</v>
      </c>
      <c r="CA103" s="149">
        <f t="shared" si="73"/>
        <v>0</v>
      </c>
      <c r="CB103" s="149">
        <f t="shared" si="73"/>
        <v>0</v>
      </c>
      <c r="CC103" s="149">
        <f t="shared" si="73"/>
        <v>0</v>
      </c>
      <c r="CD103" s="149">
        <f t="shared" si="73"/>
        <v>0</v>
      </c>
      <c r="CE103" s="149">
        <f t="shared" si="73"/>
        <v>0</v>
      </c>
      <c r="CF103" s="149">
        <f t="shared" si="73"/>
        <v>0</v>
      </c>
      <c r="CG103" s="149">
        <f t="shared" si="73"/>
        <v>0</v>
      </c>
      <c r="CH103" s="149">
        <f t="shared" si="73"/>
        <v>0</v>
      </c>
      <c r="CI103" s="149">
        <f t="shared" si="73"/>
        <v>0</v>
      </c>
      <c r="CJ103" s="149">
        <f t="shared" si="73"/>
        <v>0</v>
      </c>
      <c r="CK103" s="149">
        <f t="shared" si="73"/>
        <v>0</v>
      </c>
      <c r="CL103" s="149">
        <f t="shared" si="73"/>
        <v>0</v>
      </c>
      <c r="CM103" s="149">
        <f t="shared" si="73"/>
        <v>0</v>
      </c>
      <c r="CN103" s="149">
        <f t="shared" si="73"/>
        <v>0</v>
      </c>
      <c r="CO103" s="149">
        <f t="shared" si="73"/>
        <v>0</v>
      </c>
      <c r="CP103" s="149">
        <f t="shared" si="73"/>
        <v>0</v>
      </c>
      <c r="CQ103" s="62" t="s">
        <v>330</v>
      </c>
    </row>
    <row r="104" spans="1:95" ht="15.75" outlineLevel="1" x14ac:dyDescent="0.25">
      <c r="A104" s="102"/>
      <c r="B104" s="147" t="s">
        <v>78</v>
      </c>
      <c r="C104" s="102"/>
      <c r="D104" s="149">
        <f t="shared" ref="D104:BO104" si="74">Urban_with_scheme_emissions+National_with_scheme_emissions+Rail_with_scheme_emissions+Custom_with_scheme_emissions</f>
        <v>0</v>
      </c>
      <c r="E104" s="149">
        <f t="shared" si="74"/>
        <v>0</v>
      </c>
      <c r="F104" s="149">
        <f t="shared" si="74"/>
        <v>0</v>
      </c>
      <c r="G104" s="149">
        <f t="shared" si="74"/>
        <v>0</v>
      </c>
      <c r="H104" s="149">
        <f t="shared" si="74"/>
        <v>0</v>
      </c>
      <c r="I104" s="149">
        <f t="shared" si="74"/>
        <v>0</v>
      </c>
      <c r="J104" s="149">
        <f t="shared" si="74"/>
        <v>0</v>
      </c>
      <c r="K104" s="149">
        <f t="shared" si="74"/>
        <v>0</v>
      </c>
      <c r="L104" s="149">
        <f t="shared" si="74"/>
        <v>0</v>
      </c>
      <c r="M104" s="149">
        <f t="shared" si="74"/>
        <v>0</v>
      </c>
      <c r="N104" s="149">
        <f t="shared" si="74"/>
        <v>0</v>
      </c>
      <c r="O104" s="149">
        <f t="shared" si="74"/>
        <v>0</v>
      </c>
      <c r="P104" s="149">
        <f t="shared" si="74"/>
        <v>0</v>
      </c>
      <c r="Q104" s="149">
        <f t="shared" si="74"/>
        <v>0</v>
      </c>
      <c r="R104" s="149">
        <f t="shared" si="74"/>
        <v>0</v>
      </c>
      <c r="S104" s="149">
        <f t="shared" si="74"/>
        <v>0</v>
      </c>
      <c r="T104" s="149">
        <f t="shared" si="74"/>
        <v>0</v>
      </c>
      <c r="U104" s="149">
        <f t="shared" si="74"/>
        <v>0</v>
      </c>
      <c r="V104" s="149">
        <f t="shared" si="74"/>
        <v>0</v>
      </c>
      <c r="W104" s="149">
        <f t="shared" si="74"/>
        <v>0</v>
      </c>
      <c r="X104" s="149">
        <f t="shared" si="74"/>
        <v>0</v>
      </c>
      <c r="Y104" s="149">
        <f t="shared" si="74"/>
        <v>0</v>
      </c>
      <c r="Z104" s="149">
        <f t="shared" si="74"/>
        <v>0</v>
      </c>
      <c r="AA104" s="149">
        <f t="shared" si="74"/>
        <v>0</v>
      </c>
      <c r="AB104" s="149">
        <f t="shared" si="74"/>
        <v>0</v>
      </c>
      <c r="AC104" s="149">
        <f t="shared" si="74"/>
        <v>0</v>
      </c>
      <c r="AD104" s="149">
        <f t="shared" si="74"/>
        <v>0</v>
      </c>
      <c r="AE104" s="149">
        <f t="shared" si="74"/>
        <v>0</v>
      </c>
      <c r="AF104" s="149">
        <f t="shared" si="74"/>
        <v>0</v>
      </c>
      <c r="AG104" s="149">
        <f t="shared" si="74"/>
        <v>0</v>
      </c>
      <c r="AH104" s="149">
        <f t="shared" si="74"/>
        <v>0</v>
      </c>
      <c r="AI104" s="149">
        <f t="shared" si="74"/>
        <v>0</v>
      </c>
      <c r="AJ104" s="149">
        <f t="shared" si="74"/>
        <v>0</v>
      </c>
      <c r="AK104" s="149">
        <f t="shared" si="74"/>
        <v>0</v>
      </c>
      <c r="AL104" s="149">
        <f t="shared" si="74"/>
        <v>0</v>
      </c>
      <c r="AM104" s="149">
        <f t="shared" si="74"/>
        <v>0</v>
      </c>
      <c r="AN104" s="149">
        <f t="shared" si="74"/>
        <v>0</v>
      </c>
      <c r="AO104" s="149">
        <f t="shared" si="74"/>
        <v>0</v>
      </c>
      <c r="AP104" s="149">
        <f t="shared" si="74"/>
        <v>0</v>
      </c>
      <c r="AQ104" s="149">
        <f t="shared" si="74"/>
        <v>0</v>
      </c>
      <c r="AR104" s="149">
        <f t="shared" si="74"/>
        <v>0</v>
      </c>
      <c r="AS104" s="149">
        <f t="shared" si="74"/>
        <v>0</v>
      </c>
      <c r="AT104" s="149">
        <f t="shared" si="74"/>
        <v>0</v>
      </c>
      <c r="AU104" s="149">
        <f t="shared" si="74"/>
        <v>0</v>
      </c>
      <c r="AV104" s="149">
        <f t="shared" si="74"/>
        <v>0</v>
      </c>
      <c r="AW104" s="149">
        <f t="shared" si="74"/>
        <v>0</v>
      </c>
      <c r="AX104" s="149">
        <f t="shared" si="74"/>
        <v>0</v>
      </c>
      <c r="AY104" s="149">
        <f t="shared" si="74"/>
        <v>0</v>
      </c>
      <c r="AZ104" s="149">
        <f t="shared" si="74"/>
        <v>0</v>
      </c>
      <c r="BA104" s="149">
        <f t="shared" si="74"/>
        <v>0</v>
      </c>
      <c r="BB104" s="149">
        <f t="shared" si="74"/>
        <v>0</v>
      </c>
      <c r="BC104" s="149">
        <f t="shared" si="74"/>
        <v>0</v>
      </c>
      <c r="BD104" s="149">
        <f t="shared" si="74"/>
        <v>0</v>
      </c>
      <c r="BE104" s="149">
        <f t="shared" si="74"/>
        <v>0</v>
      </c>
      <c r="BF104" s="149">
        <f t="shared" si="74"/>
        <v>0</v>
      </c>
      <c r="BG104" s="149">
        <f t="shared" si="74"/>
        <v>0</v>
      </c>
      <c r="BH104" s="149">
        <f t="shared" si="74"/>
        <v>0</v>
      </c>
      <c r="BI104" s="149">
        <f t="shared" si="74"/>
        <v>0</v>
      </c>
      <c r="BJ104" s="149">
        <f t="shared" si="74"/>
        <v>0</v>
      </c>
      <c r="BK104" s="149">
        <f t="shared" si="74"/>
        <v>0</v>
      </c>
      <c r="BL104" s="149">
        <f t="shared" si="74"/>
        <v>0</v>
      </c>
      <c r="BM104" s="149">
        <f t="shared" si="74"/>
        <v>0</v>
      </c>
      <c r="BN104" s="149">
        <f t="shared" si="74"/>
        <v>0</v>
      </c>
      <c r="BO104" s="149">
        <f t="shared" si="74"/>
        <v>0</v>
      </c>
      <c r="BP104" s="149">
        <f t="shared" ref="BP104:CP104" si="75">Urban_with_scheme_emissions+National_with_scheme_emissions+Rail_with_scheme_emissions+Custom_with_scheme_emissions</f>
        <v>0</v>
      </c>
      <c r="BQ104" s="149">
        <f t="shared" si="75"/>
        <v>0</v>
      </c>
      <c r="BR104" s="149">
        <f t="shared" si="75"/>
        <v>0</v>
      </c>
      <c r="BS104" s="149">
        <f t="shared" si="75"/>
        <v>0</v>
      </c>
      <c r="BT104" s="149">
        <f t="shared" si="75"/>
        <v>0</v>
      </c>
      <c r="BU104" s="149">
        <f t="shared" si="75"/>
        <v>0</v>
      </c>
      <c r="BV104" s="149">
        <f t="shared" si="75"/>
        <v>0</v>
      </c>
      <c r="BW104" s="149">
        <f t="shared" si="75"/>
        <v>0</v>
      </c>
      <c r="BX104" s="149">
        <f t="shared" si="75"/>
        <v>0</v>
      </c>
      <c r="BY104" s="149">
        <f t="shared" si="75"/>
        <v>0</v>
      </c>
      <c r="BZ104" s="149">
        <f t="shared" si="75"/>
        <v>0</v>
      </c>
      <c r="CA104" s="149">
        <f t="shared" si="75"/>
        <v>0</v>
      </c>
      <c r="CB104" s="149">
        <f t="shared" si="75"/>
        <v>0</v>
      </c>
      <c r="CC104" s="149">
        <f t="shared" si="75"/>
        <v>0</v>
      </c>
      <c r="CD104" s="149">
        <f t="shared" si="75"/>
        <v>0</v>
      </c>
      <c r="CE104" s="149">
        <f t="shared" si="75"/>
        <v>0</v>
      </c>
      <c r="CF104" s="149">
        <f t="shared" si="75"/>
        <v>0</v>
      </c>
      <c r="CG104" s="149">
        <f t="shared" si="75"/>
        <v>0</v>
      </c>
      <c r="CH104" s="149">
        <f t="shared" si="75"/>
        <v>0</v>
      </c>
      <c r="CI104" s="149">
        <f t="shared" si="75"/>
        <v>0</v>
      </c>
      <c r="CJ104" s="149">
        <f t="shared" si="75"/>
        <v>0</v>
      </c>
      <c r="CK104" s="149">
        <f t="shared" si="75"/>
        <v>0</v>
      </c>
      <c r="CL104" s="149">
        <f t="shared" si="75"/>
        <v>0</v>
      </c>
      <c r="CM104" s="149">
        <f t="shared" si="75"/>
        <v>0</v>
      </c>
      <c r="CN104" s="149">
        <f t="shared" si="75"/>
        <v>0</v>
      </c>
      <c r="CO104" s="149">
        <f t="shared" si="75"/>
        <v>0</v>
      </c>
      <c r="CP104" s="149">
        <f t="shared" si="75"/>
        <v>0</v>
      </c>
      <c r="CQ104" s="62" t="s">
        <v>331</v>
      </c>
    </row>
    <row r="105" spans="1:95" ht="15.75" outlineLevel="1" x14ac:dyDescent="0.25">
      <c r="A105" s="102"/>
      <c r="B105" s="147" t="s">
        <v>325</v>
      </c>
      <c r="C105" s="102"/>
      <c r="D105" s="149">
        <f t="shared" ref="D105:BO105" si="76">With_scheme_NOx_emissions_in_exceedance-Without_scheme_NOx_emissions_in_exceedance</f>
        <v>0</v>
      </c>
      <c r="E105" s="149">
        <f t="shared" si="76"/>
        <v>0</v>
      </c>
      <c r="F105" s="149">
        <f t="shared" si="76"/>
        <v>0</v>
      </c>
      <c r="G105" s="149">
        <f t="shared" si="76"/>
        <v>0</v>
      </c>
      <c r="H105" s="149">
        <f t="shared" si="76"/>
        <v>0</v>
      </c>
      <c r="I105" s="149">
        <f t="shared" si="76"/>
        <v>0</v>
      </c>
      <c r="J105" s="149">
        <f t="shared" si="76"/>
        <v>0</v>
      </c>
      <c r="K105" s="149">
        <f t="shared" si="76"/>
        <v>0</v>
      </c>
      <c r="L105" s="149">
        <f t="shared" si="76"/>
        <v>0</v>
      </c>
      <c r="M105" s="149">
        <f t="shared" si="76"/>
        <v>0</v>
      </c>
      <c r="N105" s="149">
        <f t="shared" si="76"/>
        <v>0</v>
      </c>
      <c r="O105" s="149">
        <f t="shared" si="76"/>
        <v>0</v>
      </c>
      <c r="P105" s="149">
        <f t="shared" si="76"/>
        <v>0</v>
      </c>
      <c r="Q105" s="149">
        <f t="shared" si="76"/>
        <v>0</v>
      </c>
      <c r="R105" s="149">
        <f t="shared" si="76"/>
        <v>0</v>
      </c>
      <c r="S105" s="149">
        <f t="shared" si="76"/>
        <v>0</v>
      </c>
      <c r="T105" s="149">
        <f t="shared" si="76"/>
        <v>0</v>
      </c>
      <c r="U105" s="149">
        <f t="shared" si="76"/>
        <v>0</v>
      </c>
      <c r="V105" s="149">
        <f t="shared" si="76"/>
        <v>0</v>
      </c>
      <c r="W105" s="149">
        <f t="shared" si="76"/>
        <v>0</v>
      </c>
      <c r="X105" s="149">
        <f t="shared" si="76"/>
        <v>0</v>
      </c>
      <c r="Y105" s="149">
        <f t="shared" si="76"/>
        <v>0</v>
      </c>
      <c r="Z105" s="149">
        <f t="shared" si="76"/>
        <v>0</v>
      </c>
      <c r="AA105" s="149">
        <f t="shared" si="76"/>
        <v>0</v>
      </c>
      <c r="AB105" s="149">
        <f t="shared" si="76"/>
        <v>0</v>
      </c>
      <c r="AC105" s="149">
        <f t="shared" si="76"/>
        <v>0</v>
      </c>
      <c r="AD105" s="149">
        <f t="shared" si="76"/>
        <v>0</v>
      </c>
      <c r="AE105" s="149">
        <f t="shared" si="76"/>
        <v>0</v>
      </c>
      <c r="AF105" s="149">
        <f t="shared" si="76"/>
        <v>0</v>
      </c>
      <c r="AG105" s="149">
        <f t="shared" si="76"/>
        <v>0</v>
      </c>
      <c r="AH105" s="149">
        <f t="shared" si="76"/>
        <v>0</v>
      </c>
      <c r="AI105" s="149">
        <f t="shared" si="76"/>
        <v>0</v>
      </c>
      <c r="AJ105" s="149">
        <f t="shared" si="76"/>
        <v>0</v>
      </c>
      <c r="AK105" s="149">
        <f t="shared" si="76"/>
        <v>0</v>
      </c>
      <c r="AL105" s="149">
        <f t="shared" si="76"/>
        <v>0</v>
      </c>
      <c r="AM105" s="149">
        <f t="shared" si="76"/>
        <v>0</v>
      </c>
      <c r="AN105" s="149">
        <f t="shared" si="76"/>
        <v>0</v>
      </c>
      <c r="AO105" s="149">
        <f t="shared" si="76"/>
        <v>0</v>
      </c>
      <c r="AP105" s="149">
        <f t="shared" si="76"/>
        <v>0</v>
      </c>
      <c r="AQ105" s="149">
        <f t="shared" si="76"/>
        <v>0</v>
      </c>
      <c r="AR105" s="149">
        <f t="shared" si="76"/>
        <v>0</v>
      </c>
      <c r="AS105" s="149">
        <f t="shared" si="76"/>
        <v>0</v>
      </c>
      <c r="AT105" s="149">
        <f t="shared" si="76"/>
        <v>0</v>
      </c>
      <c r="AU105" s="149">
        <f t="shared" si="76"/>
        <v>0</v>
      </c>
      <c r="AV105" s="149">
        <f t="shared" si="76"/>
        <v>0</v>
      </c>
      <c r="AW105" s="149">
        <f t="shared" si="76"/>
        <v>0</v>
      </c>
      <c r="AX105" s="149">
        <f t="shared" si="76"/>
        <v>0</v>
      </c>
      <c r="AY105" s="149">
        <f t="shared" si="76"/>
        <v>0</v>
      </c>
      <c r="AZ105" s="149">
        <f t="shared" si="76"/>
        <v>0</v>
      </c>
      <c r="BA105" s="149">
        <f t="shared" si="76"/>
        <v>0</v>
      </c>
      <c r="BB105" s="149">
        <f t="shared" si="76"/>
        <v>0</v>
      </c>
      <c r="BC105" s="149">
        <f t="shared" si="76"/>
        <v>0</v>
      </c>
      <c r="BD105" s="149">
        <f t="shared" si="76"/>
        <v>0</v>
      </c>
      <c r="BE105" s="149">
        <f t="shared" si="76"/>
        <v>0</v>
      </c>
      <c r="BF105" s="149">
        <f t="shared" si="76"/>
        <v>0</v>
      </c>
      <c r="BG105" s="149">
        <f t="shared" si="76"/>
        <v>0</v>
      </c>
      <c r="BH105" s="149">
        <f t="shared" si="76"/>
        <v>0</v>
      </c>
      <c r="BI105" s="149">
        <f t="shared" si="76"/>
        <v>0</v>
      </c>
      <c r="BJ105" s="149">
        <f t="shared" si="76"/>
        <v>0</v>
      </c>
      <c r="BK105" s="149">
        <f t="shared" si="76"/>
        <v>0</v>
      </c>
      <c r="BL105" s="149">
        <f t="shared" si="76"/>
        <v>0</v>
      </c>
      <c r="BM105" s="149">
        <f t="shared" si="76"/>
        <v>0</v>
      </c>
      <c r="BN105" s="149">
        <f t="shared" si="76"/>
        <v>0</v>
      </c>
      <c r="BO105" s="149">
        <f t="shared" si="76"/>
        <v>0</v>
      </c>
      <c r="BP105" s="149">
        <f t="shared" ref="BP105:CP105" si="77">With_scheme_NOx_emissions_in_exceedance-Without_scheme_NOx_emissions_in_exceedance</f>
        <v>0</v>
      </c>
      <c r="BQ105" s="149">
        <f t="shared" si="77"/>
        <v>0</v>
      </c>
      <c r="BR105" s="149">
        <f t="shared" si="77"/>
        <v>0</v>
      </c>
      <c r="BS105" s="149">
        <f t="shared" si="77"/>
        <v>0</v>
      </c>
      <c r="BT105" s="149">
        <f t="shared" si="77"/>
        <v>0</v>
      </c>
      <c r="BU105" s="149">
        <f t="shared" si="77"/>
        <v>0</v>
      </c>
      <c r="BV105" s="149">
        <f t="shared" si="77"/>
        <v>0</v>
      </c>
      <c r="BW105" s="149">
        <f t="shared" si="77"/>
        <v>0</v>
      </c>
      <c r="BX105" s="149">
        <f t="shared" si="77"/>
        <v>0</v>
      </c>
      <c r="BY105" s="149">
        <f t="shared" si="77"/>
        <v>0</v>
      </c>
      <c r="BZ105" s="149">
        <f t="shared" si="77"/>
        <v>0</v>
      </c>
      <c r="CA105" s="149">
        <f t="shared" si="77"/>
        <v>0</v>
      </c>
      <c r="CB105" s="149">
        <f t="shared" si="77"/>
        <v>0</v>
      </c>
      <c r="CC105" s="149">
        <f t="shared" si="77"/>
        <v>0</v>
      </c>
      <c r="CD105" s="149">
        <f t="shared" si="77"/>
        <v>0</v>
      </c>
      <c r="CE105" s="149">
        <f t="shared" si="77"/>
        <v>0</v>
      </c>
      <c r="CF105" s="149">
        <f t="shared" si="77"/>
        <v>0</v>
      </c>
      <c r="CG105" s="149">
        <f t="shared" si="77"/>
        <v>0</v>
      </c>
      <c r="CH105" s="149">
        <f t="shared" si="77"/>
        <v>0</v>
      </c>
      <c r="CI105" s="149">
        <f t="shared" si="77"/>
        <v>0</v>
      </c>
      <c r="CJ105" s="149">
        <f t="shared" si="77"/>
        <v>0</v>
      </c>
      <c r="CK105" s="149">
        <f t="shared" si="77"/>
        <v>0</v>
      </c>
      <c r="CL105" s="149">
        <f t="shared" si="77"/>
        <v>0</v>
      </c>
      <c r="CM105" s="149">
        <f t="shared" si="77"/>
        <v>0</v>
      </c>
      <c r="CN105" s="149">
        <f t="shared" si="77"/>
        <v>0</v>
      </c>
      <c r="CO105" s="149">
        <f t="shared" si="77"/>
        <v>0</v>
      </c>
      <c r="CP105" s="149">
        <f t="shared" si="77"/>
        <v>0</v>
      </c>
      <c r="CQ105" s="62" t="s">
        <v>334</v>
      </c>
    </row>
    <row r="106" spans="1:95" outlineLevel="1" x14ac:dyDescent="0.25">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62"/>
    </row>
    <row r="107" spans="1:95" outlineLevel="1" x14ac:dyDescent="0.25">
      <c r="B107" t="s">
        <v>336</v>
      </c>
      <c r="C107" s="53">
        <f>HLOOKUP(Opening_year,NOx_exceedance_emission_table,2,0)</f>
        <v>0</v>
      </c>
      <c r="D107" s="170" t="s">
        <v>341</v>
      </c>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62"/>
    </row>
    <row r="108" spans="1:95" outlineLevel="1" x14ac:dyDescent="0.25">
      <c r="B108" t="s">
        <v>337</v>
      </c>
      <c r="C108" s="53">
        <f>HLOOKUP(Opening_year,NOx_exceedance_emission_table,3,0)</f>
        <v>0</v>
      </c>
      <c r="D108" s="170" t="s">
        <v>342</v>
      </c>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62"/>
    </row>
    <row r="109" spans="1:95" outlineLevel="1" x14ac:dyDescent="0.25">
      <c r="B109" t="s">
        <v>340</v>
      </c>
      <c r="C109" s="53">
        <f>With_scheme_opening_year_exceedance-Without_scheme_opening_year_exceedance</f>
        <v>0</v>
      </c>
      <c r="D109" s="170" t="s">
        <v>345</v>
      </c>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62"/>
    </row>
    <row r="110" spans="1:95" outlineLevel="1" x14ac:dyDescent="0.25">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62"/>
    </row>
    <row r="111" spans="1:95" outlineLevel="1" x14ac:dyDescent="0.25">
      <c r="B111" t="s">
        <v>338</v>
      </c>
      <c r="C111" s="53">
        <f>HLOOKUP(Forecast_year,NOx_exceedance_emission_table,2,0)</f>
        <v>0</v>
      </c>
      <c r="D111" s="170" t="s">
        <v>344</v>
      </c>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62"/>
    </row>
    <row r="112" spans="1:95" outlineLevel="1" x14ac:dyDescent="0.25">
      <c r="B112" t="s">
        <v>339</v>
      </c>
      <c r="C112" s="53">
        <f>HLOOKUP(Forecast_year,NOx_exceedance_emission_table,3,0)</f>
        <v>0</v>
      </c>
      <c r="D112" s="170" t="s">
        <v>343</v>
      </c>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62"/>
    </row>
    <row r="113" spans="1:95" outlineLevel="1" x14ac:dyDescent="0.25">
      <c r="B113" t="s">
        <v>340</v>
      </c>
      <c r="C113" s="53">
        <f>With_scheme_forecast_year_exceedance-Without_scheme_forecast_year_exceedance</f>
        <v>0</v>
      </c>
      <c r="D113" s="170" t="s">
        <v>346</v>
      </c>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62"/>
    </row>
    <row r="114" spans="1:95" outlineLevel="1" x14ac:dyDescent="0.25">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62"/>
    </row>
    <row r="115" spans="1:95" ht="15.75" outlineLevel="1" x14ac:dyDescent="0.25">
      <c r="A115" s="86"/>
      <c r="B115" s="86" t="s">
        <v>198</v>
      </c>
      <c r="C115" s="86"/>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7"/>
    </row>
    <row r="116" spans="1:95" ht="15.75" outlineLevel="1" x14ac:dyDescent="0.25">
      <c r="A116" s="102"/>
      <c r="B116" s="102"/>
      <c r="C116" s="102"/>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50"/>
    </row>
    <row r="117" spans="1:95" ht="15.75" outlineLevel="1" x14ac:dyDescent="0.25">
      <c r="A117" s="102"/>
      <c r="B117" s="102"/>
      <c r="C117" s="102"/>
      <c r="D117" s="169">
        <v>2010</v>
      </c>
      <c r="E117" s="169">
        <v>2011</v>
      </c>
      <c r="F117" s="169">
        <v>2012</v>
      </c>
      <c r="G117" s="169">
        <v>2013</v>
      </c>
      <c r="H117" s="169">
        <v>2014</v>
      </c>
      <c r="I117" s="169">
        <v>2015</v>
      </c>
      <c r="J117" s="169">
        <v>2016</v>
      </c>
      <c r="K117" s="169">
        <v>2017</v>
      </c>
      <c r="L117" s="169">
        <v>2018</v>
      </c>
      <c r="M117" s="169">
        <v>2019</v>
      </c>
      <c r="N117" s="169">
        <v>2020</v>
      </c>
      <c r="O117" s="169">
        <v>2021</v>
      </c>
      <c r="P117" s="169">
        <v>2022</v>
      </c>
      <c r="Q117" s="169">
        <v>2023</v>
      </c>
      <c r="R117" s="169">
        <v>2024</v>
      </c>
      <c r="S117" s="169">
        <v>2025</v>
      </c>
      <c r="T117" s="169">
        <v>2026</v>
      </c>
      <c r="U117" s="169">
        <v>2027</v>
      </c>
      <c r="V117" s="169">
        <v>2028</v>
      </c>
      <c r="W117" s="169">
        <v>2029</v>
      </c>
      <c r="X117" s="169">
        <v>2030</v>
      </c>
      <c r="Y117" s="169">
        <v>2031</v>
      </c>
      <c r="Z117" s="169">
        <v>2032</v>
      </c>
      <c r="AA117" s="169">
        <v>2033</v>
      </c>
      <c r="AB117" s="169">
        <v>2034</v>
      </c>
      <c r="AC117" s="169">
        <v>2035</v>
      </c>
      <c r="AD117" s="169">
        <v>2036</v>
      </c>
      <c r="AE117" s="169">
        <v>2037</v>
      </c>
      <c r="AF117" s="169">
        <v>2038</v>
      </c>
      <c r="AG117" s="169">
        <v>2039</v>
      </c>
      <c r="AH117" s="169">
        <v>2040</v>
      </c>
      <c r="AI117" s="169">
        <v>2041</v>
      </c>
      <c r="AJ117" s="169">
        <v>2042</v>
      </c>
      <c r="AK117" s="169">
        <v>2043</v>
      </c>
      <c r="AL117" s="169">
        <v>2044</v>
      </c>
      <c r="AM117" s="169">
        <v>2045</v>
      </c>
      <c r="AN117" s="169">
        <v>2046</v>
      </c>
      <c r="AO117" s="169">
        <v>2047</v>
      </c>
      <c r="AP117" s="169">
        <v>2048</v>
      </c>
      <c r="AQ117" s="169">
        <v>2049</v>
      </c>
      <c r="AR117" s="169">
        <v>2050</v>
      </c>
      <c r="AS117" s="169">
        <v>2051</v>
      </c>
      <c r="AT117" s="169">
        <v>2052</v>
      </c>
      <c r="AU117" s="169">
        <v>2053</v>
      </c>
      <c r="AV117" s="169">
        <v>2054</v>
      </c>
      <c r="AW117" s="169">
        <v>2055</v>
      </c>
      <c r="AX117" s="169">
        <v>2056</v>
      </c>
      <c r="AY117" s="169">
        <v>2057</v>
      </c>
      <c r="AZ117" s="169">
        <v>2058</v>
      </c>
      <c r="BA117" s="169">
        <v>2059</v>
      </c>
      <c r="BB117" s="169">
        <v>2060</v>
      </c>
      <c r="BC117" s="169">
        <v>2061</v>
      </c>
      <c r="BD117" s="169">
        <v>2062</v>
      </c>
      <c r="BE117" s="169">
        <v>2063</v>
      </c>
      <c r="BF117" s="169">
        <v>2064</v>
      </c>
      <c r="BG117" s="169">
        <v>2065</v>
      </c>
      <c r="BH117" s="169">
        <v>2066</v>
      </c>
      <c r="BI117" s="169">
        <v>2067</v>
      </c>
      <c r="BJ117" s="169">
        <v>2068</v>
      </c>
      <c r="BK117" s="169">
        <v>2069</v>
      </c>
      <c r="BL117" s="169">
        <v>2070</v>
      </c>
      <c r="BM117" s="169">
        <v>2071</v>
      </c>
      <c r="BN117" s="169">
        <v>2072</v>
      </c>
      <c r="BO117" s="169">
        <v>2073</v>
      </c>
      <c r="BP117" s="169">
        <v>2074</v>
      </c>
      <c r="BQ117" s="169">
        <v>2075</v>
      </c>
      <c r="BR117" s="169">
        <v>2076</v>
      </c>
      <c r="BS117" s="169">
        <v>2077</v>
      </c>
      <c r="BT117" s="169">
        <v>2078</v>
      </c>
      <c r="BU117" s="169">
        <v>2079</v>
      </c>
      <c r="BV117" s="169">
        <v>2080</v>
      </c>
      <c r="BW117" s="169">
        <v>2081</v>
      </c>
      <c r="BX117" s="169">
        <v>2082</v>
      </c>
      <c r="BY117" s="169">
        <v>2083</v>
      </c>
      <c r="BZ117" s="169">
        <v>2084</v>
      </c>
      <c r="CA117" s="169">
        <v>2085</v>
      </c>
      <c r="CB117" s="169">
        <v>2086</v>
      </c>
      <c r="CC117" s="169">
        <v>2087</v>
      </c>
      <c r="CD117" s="169">
        <v>2088</v>
      </c>
      <c r="CE117" s="169">
        <v>2089</v>
      </c>
      <c r="CF117" s="169">
        <v>2090</v>
      </c>
      <c r="CG117" s="169">
        <v>2091</v>
      </c>
      <c r="CH117" s="169">
        <v>2092</v>
      </c>
      <c r="CI117" s="169">
        <v>2093</v>
      </c>
      <c r="CJ117" s="169">
        <v>2094</v>
      </c>
      <c r="CK117" s="169">
        <v>2095</v>
      </c>
      <c r="CL117" s="169">
        <v>2096</v>
      </c>
      <c r="CM117" s="169">
        <v>2097</v>
      </c>
      <c r="CN117" s="169">
        <v>2098</v>
      </c>
      <c r="CO117" s="169">
        <v>2099</v>
      </c>
      <c r="CP117" s="169">
        <v>2100</v>
      </c>
      <c r="CQ117" s="150"/>
    </row>
    <row r="118" spans="1:95" ht="15.75" outlineLevel="1" x14ac:dyDescent="0.25">
      <c r="A118" s="102"/>
      <c r="B118" s="147" t="s">
        <v>77</v>
      </c>
      <c r="C118" s="102"/>
      <c r="D118" s="149">
        <f t="shared" ref="D118:BO118" si="78">Total_without_scheme_NOx_emissions-Without_scheme_NOx_emissions_in_exceedance</f>
        <v>0</v>
      </c>
      <c r="E118" s="149">
        <f t="shared" si="78"/>
        <v>0</v>
      </c>
      <c r="F118" s="149">
        <f t="shared" si="78"/>
        <v>0</v>
      </c>
      <c r="G118" s="149">
        <f t="shared" si="78"/>
        <v>0</v>
      </c>
      <c r="H118" s="149">
        <f t="shared" si="78"/>
        <v>0</v>
      </c>
      <c r="I118" s="149">
        <f t="shared" si="78"/>
        <v>0</v>
      </c>
      <c r="J118" s="149">
        <f t="shared" si="78"/>
        <v>0</v>
      </c>
      <c r="K118" s="149">
        <f t="shared" si="78"/>
        <v>0</v>
      </c>
      <c r="L118" s="149">
        <f t="shared" si="78"/>
        <v>0</v>
      </c>
      <c r="M118" s="149">
        <f t="shared" si="78"/>
        <v>0</v>
      </c>
      <c r="N118" s="149">
        <f t="shared" si="78"/>
        <v>0</v>
      </c>
      <c r="O118" s="149">
        <f t="shared" si="78"/>
        <v>0</v>
      </c>
      <c r="P118" s="149">
        <f t="shared" si="78"/>
        <v>0</v>
      </c>
      <c r="Q118" s="149">
        <f t="shared" si="78"/>
        <v>0</v>
      </c>
      <c r="R118" s="149">
        <f t="shared" si="78"/>
        <v>0</v>
      </c>
      <c r="S118" s="149">
        <f t="shared" si="78"/>
        <v>0</v>
      </c>
      <c r="T118" s="149">
        <f t="shared" si="78"/>
        <v>136.43438145432202</v>
      </c>
      <c r="U118" s="149">
        <f t="shared" si="78"/>
        <v>135.78997800089115</v>
      </c>
      <c r="V118" s="149">
        <f t="shared" si="78"/>
        <v>135.14557454746031</v>
      </c>
      <c r="W118" s="149">
        <f t="shared" si="78"/>
        <v>134.50117109402944</v>
      </c>
      <c r="X118" s="149">
        <f t="shared" si="78"/>
        <v>133.85676764059858</v>
      </c>
      <c r="Y118" s="149">
        <f t="shared" si="78"/>
        <v>133.21236418716774</v>
      </c>
      <c r="Z118" s="149">
        <f t="shared" si="78"/>
        <v>132.56796073373687</v>
      </c>
      <c r="AA118" s="149">
        <f t="shared" si="78"/>
        <v>131.923557280306</v>
      </c>
      <c r="AB118" s="149">
        <f t="shared" si="78"/>
        <v>131.27915382687513</v>
      </c>
      <c r="AC118" s="149">
        <f t="shared" si="78"/>
        <v>130.63475037344429</v>
      </c>
      <c r="AD118" s="149">
        <f t="shared" si="78"/>
        <v>129.99034692001342</v>
      </c>
      <c r="AE118" s="149">
        <f t="shared" si="78"/>
        <v>129.99034692001342</v>
      </c>
      <c r="AF118" s="149">
        <f t="shared" si="78"/>
        <v>129.99034692001342</v>
      </c>
      <c r="AG118" s="149">
        <f t="shared" si="78"/>
        <v>129.99034692001342</v>
      </c>
      <c r="AH118" s="149">
        <f t="shared" si="78"/>
        <v>129.99034692001342</v>
      </c>
      <c r="AI118" s="149">
        <f t="shared" si="78"/>
        <v>129.99034692001342</v>
      </c>
      <c r="AJ118" s="149">
        <f t="shared" si="78"/>
        <v>129.99034692001342</v>
      </c>
      <c r="AK118" s="149">
        <f t="shared" si="78"/>
        <v>129.99034692001342</v>
      </c>
      <c r="AL118" s="149">
        <f t="shared" si="78"/>
        <v>129.99034692001342</v>
      </c>
      <c r="AM118" s="149">
        <f t="shared" si="78"/>
        <v>129.99034692001342</v>
      </c>
      <c r="AN118" s="149">
        <f t="shared" si="78"/>
        <v>129.99034692001342</v>
      </c>
      <c r="AO118" s="149">
        <f t="shared" si="78"/>
        <v>129.99034692001342</v>
      </c>
      <c r="AP118" s="149">
        <f t="shared" si="78"/>
        <v>129.99034692001342</v>
      </c>
      <c r="AQ118" s="149">
        <f t="shared" si="78"/>
        <v>129.99034692001342</v>
      </c>
      <c r="AR118" s="149">
        <f t="shared" si="78"/>
        <v>129.99034692001342</v>
      </c>
      <c r="AS118" s="149">
        <f t="shared" si="78"/>
        <v>129.99034692001342</v>
      </c>
      <c r="AT118" s="149">
        <f t="shared" si="78"/>
        <v>129.99034692001342</v>
      </c>
      <c r="AU118" s="149">
        <f t="shared" si="78"/>
        <v>129.99034692001342</v>
      </c>
      <c r="AV118" s="149">
        <f t="shared" si="78"/>
        <v>129.99034692001342</v>
      </c>
      <c r="AW118" s="149">
        <f t="shared" si="78"/>
        <v>129.99034692001342</v>
      </c>
      <c r="AX118" s="149">
        <f t="shared" si="78"/>
        <v>129.99034692001342</v>
      </c>
      <c r="AY118" s="149">
        <f t="shared" si="78"/>
        <v>129.99034692001342</v>
      </c>
      <c r="AZ118" s="149">
        <f t="shared" si="78"/>
        <v>129.99034692001342</v>
      </c>
      <c r="BA118" s="149">
        <f t="shared" si="78"/>
        <v>129.99034692001342</v>
      </c>
      <c r="BB118" s="149">
        <f t="shared" si="78"/>
        <v>129.99034692001342</v>
      </c>
      <c r="BC118" s="149">
        <f t="shared" si="78"/>
        <v>129.99034692001342</v>
      </c>
      <c r="BD118" s="149">
        <f t="shared" si="78"/>
        <v>129.99034692001342</v>
      </c>
      <c r="BE118" s="149">
        <f t="shared" si="78"/>
        <v>129.99034692001342</v>
      </c>
      <c r="BF118" s="149">
        <f t="shared" si="78"/>
        <v>129.99034692001342</v>
      </c>
      <c r="BG118" s="149">
        <f t="shared" si="78"/>
        <v>129.99034692001342</v>
      </c>
      <c r="BH118" s="149">
        <f t="shared" si="78"/>
        <v>129.99034692001342</v>
      </c>
      <c r="BI118" s="149">
        <f t="shared" si="78"/>
        <v>129.99034692001342</v>
      </c>
      <c r="BJ118" s="149">
        <f t="shared" si="78"/>
        <v>129.99034692001342</v>
      </c>
      <c r="BK118" s="149">
        <f t="shared" si="78"/>
        <v>129.99034692001342</v>
      </c>
      <c r="BL118" s="149">
        <f t="shared" si="78"/>
        <v>129.99034692001342</v>
      </c>
      <c r="BM118" s="149">
        <f t="shared" si="78"/>
        <v>129.99034692001342</v>
      </c>
      <c r="BN118" s="149">
        <f t="shared" si="78"/>
        <v>129.99034692001342</v>
      </c>
      <c r="BO118" s="149">
        <f t="shared" si="78"/>
        <v>129.99034692001342</v>
      </c>
      <c r="BP118" s="149">
        <f t="shared" ref="BP118:CP118" si="79">Total_without_scheme_NOx_emissions-Without_scheme_NOx_emissions_in_exceedance</f>
        <v>129.99034692001342</v>
      </c>
      <c r="BQ118" s="149">
        <f t="shared" si="79"/>
        <v>129.99034692001342</v>
      </c>
      <c r="BR118" s="149">
        <f t="shared" si="79"/>
        <v>129.99034692001342</v>
      </c>
      <c r="BS118" s="149">
        <f t="shared" si="79"/>
        <v>129.99034692001342</v>
      </c>
      <c r="BT118" s="149">
        <f t="shared" si="79"/>
        <v>129.99034692001342</v>
      </c>
      <c r="BU118" s="149">
        <f t="shared" si="79"/>
        <v>129.99034692001342</v>
      </c>
      <c r="BV118" s="149">
        <f t="shared" si="79"/>
        <v>129.99034692001342</v>
      </c>
      <c r="BW118" s="149">
        <f t="shared" si="79"/>
        <v>129.99034692001342</v>
      </c>
      <c r="BX118" s="149">
        <f t="shared" si="79"/>
        <v>129.99034692001342</v>
      </c>
      <c r="BY118" s="149">
        <f t="shared" si="79"/>
        <v>129.99034692001342</v>
      </c>
      <c r="BZ118" s="149">
        <f t="shared" si="79"/>
        <v>129.99034692001342</v>
      </c>
      <c r="CA118" s="149">
        <f t="shared" si="79"/>
        <v>129.99034692001342</v>
      </c>
      <c r="CB118" s="149">
        <f t="shared" si="79"/>
        <v>0</v>
      </c>
      <c r="CC118" s="149">
        <f t="shared" si="79"/>
        <v>0</v>
      </c>
      <c r="CD118" s="149">
        <f t="shared" si="79"/>
        <v>0</v>
      </c>
      <c r="CE118" s="149">
        <f t="shared" si="79"/>
        <v>0</v>
      </c>
      <c r="CF118" s="149">
        <f t="shared" si="79"/>
        <v>0</v>
      </c>
      <c r="CG118" s="149">
        <f t="shared" si="79"/>
        <v>0</v>
      </c>
      <c r="CH118" s="149">
        <f t="shared" si="79"/>
        <v>0</v>
      </c>
      <c r="CI118" s="149">
        <f t="shared" si="79"/>
        <v>0</v>
      </c>
      <c r="CJ118" s="149">
        <f t="shared" si="79"/>
        <v>0</v>
      </c>
      <c r="CK118" s="149">
        <f t="shared" si="79"/>
        <v>0</v>
      </c>
      <c r="CL118" s="149">
        <f t="shared" si="79"/>
        <v>0</v>
      </c>
      <c r="CM118" s="149">
        <f t="shared" si="79"/>
        <v>0</v>
      </c>
      <c r="CN118" s="149">
        <f t="shared" si="79"/>
        <v>0</v>
      </c>
      <c r="CO118" s="149">
        <f t="shared" si="79"/>
        <v>0</v>
      </c>
      <c r="CP118" s="149">
        <f t="shared" si="79"/>
        <v>0</v>
      </c>
      <c r="CQ118" s="62" t="s">
        <v>332</v>
      </c>
    </row>
    <row r="119" spans="1:95" ht="15.75" outlineLevel="1" x14ac:dyDescent="0.25">
      <c r="A119" s="102"/>
      <c r="B119" s="147" t="s">
        <v>78</v>
      </c>
      <c r="C119" s="102"/>
      <c r="D119" s="149">
        <f t="shared" ref="D119:BO119" si="80">Total_with_scheme_NOx_emissions-With_scheme_NOx_emissions_in_exceedance</f>
        <v>0</v>
      </c>
      <c r="E119" s="149">
        <f t="shared" si="80"/>
        <v>0</v>
      </c>
      <c r="F119" s="149">
        <f t="shared" si="80"/>
        <v>0</v>
      </c>
      <c r="G119" s="149">
        <f t="shared" si="80"/>
        <v>0</v>
      </c>
      <c r="H119" s="149">
        <f t="shared" si="80"/>
        <v>0</v>
      </c>
      <c r="I119" s="149">
        <f t="shared" si="80"/>
        <v>0</v>
      </c>
      <c r="J119" s="149">
        <f t="shared" si="80"/>
        <v>0</v>
      </c>
      <c r="K119" s="149">
        <f t="shared" si="80"/>
        <v>0</v>
      </c>
      <c r="L119" s="149">
        <f t="shared" si="80"/>
        <v>0</v>
      </c>
      <c r="M119" s="149">
        <f t="shared" si="80"/>
        <v>0</v>
      </c>
      <c r="N119" s="149">
        <f t="shared" si="80"/>
        <v>0</v>
      </c>
      <c r="O119" s="149">
        <f t="shared" si="80"/>
        <v>0</v>
      </c>
      <c r="P119" s="149">
        <f t="shared" si="80"/>
        <v>0</v>
      </c>
      <c r="Q119" s="149">
        <f t="shared" si="80"/>
        <v>0</v>
      </c>
      <c r="R119" s="149">
        <f t="shared" si="80"/>
        <v>0</v>
      </c>
      <c r="S119" s="149">
        <f t="shared" si="80"/>
        <v>0</v>
      </c>
      <c r="T119" s="149">
        <f t="shared" si="80"/>
        <v>136.97176844772562</v>
      </c>
      <c r="U119" s="149">
        <f t="shared" si="80"/>
        <v>136.430149339731</v>
      </c>
      <c r="V119" s="149">
        <f t="shared" si="80"/>
        <v>135.88853023173638</v>
      </c>
      <c r="W119" s="149">
        <f t="shared" si="80"/>
        <v>135.34691112374176</v>
      </c>
      <c r="X119" s="149">
        <f t="shared" si="80"/>
        <v>134.80529201574714</v>
      </c>
      <c r="Y119" s="149">
        <f t="shared" si="80"/>
        <v>134.26367290775249</v>
      </c>
      <c r="Z119" s="149">
        <f t="shared" si="80"/>
        <v>133.72205379975787</v>
      </c>
      <c r="AA119" s="149">
        <f t="shared" si="80"/>
        <v>133.18043469176325</v>
      </c>
      <c r="AB119" s="149">
        <f t="shared" si="80"/>
        <v>132.63881558376863</v>
      </c>
      <c r="AC119" s="149">
        <f t="shared" si="80"/>
        <v>132.09719647577401</v>
      </c>
      <c r="AD119" s="149">
        <f t="shared" si="80"/>
        <v>131.55557736777939</v>
      </c>
      <c r="AE119" s="149">
        <f t="shared" si="80"/>
        <v>131.55557736777939</v>
      </c>
      <c r="AF119" s="149">
        <f t="shared" si="80"/>
        <v>131.55557736777939</v>
      </c>
      <c r="AG119" s="149">
        <f t="shared" si="80"/>
        <v>131.55557736777939</v>
      </c>
      <c r="AH119" s="149">
        <f t="shared" si="80"/>
        <v>131.55557736777939</v>
      </c>
      <c r="AI119" s="149">
        <f t="shared" si="80"/>
        <v>131.55557736777939</v>
      </c>
      <c r="AJ119" s="149">
        <f t="shared" si="80"/>
        <v>131.55557736777939</v>
      </c>
      <c r="AK119" s="149">
        <f t="shared" si="80"/>
        <v>131.55557736777939</v>
      </c>
      <c r="AL119" s="149">
        <f t="shared" si="80"/>
        <v>131.55557736777939</v>
      </c>
      <c r="AM119" s="149">
        <f t="shared" si="80"/>
        <v>131.55557736777939</v>
      </c>
      <c r="AN119" s="149">
        <f t="shared" si="80"/>
        <v>131.55557736777939</v>
      </c>
      <c r="AO119" s="149">
        <f t="shared" si="80"/>
        <v>131.55557736777939</v>
      </c>
      <c r="AP119" s="149">
        <f t="shared" si="80"/>
        <v>131.55557736777939</v>
      </c>
      <c r="AQ119" s="149">
        <f t="shared" si="80"/>
        <v>131.55557736777939</v>
      </c>
      <c r="AR119" s="149">
        <f t="shared" si="80"/>
        <v>131.55557736777939</v>
      </c>
      <c r="AS119" s="149">
        <f t="shared" si="80"/>
        <v>131.55557736777939</v>
      </c>
      <c r="AT119" s="149">
        <f t="shared" si="80"/>
        <v>131.55557736777939</v>
      </c>
      <c r="AU119" s="149">
        <f t="shared" si="80"/>
        <v>131.55557736777939</v>
      </c>
      <c r="AV119" s="149">
        <f t="shared" si="80"/>
        <v>131.55557736777939</v>
      </c>
      <c r="AW119" s="149">
        <f t="shared" si="80"/>
        <v>131.55557736777939</v>
      </c>
      <c r="AX119" s="149">
        <f t="shared" si="80"/>
        <v>131.55557736777939</v>
      </c>
      <c r="AY119" s="149">
        <f t="shared" si="80"/>
        <v>131.55557736777939</v>
      </c>
      <c r="AZ119" s="149">
        <f t="shared" si="80"/>
        <v>131.55557736777939</v>
      </c>
      <c r="BA119" s="149">
        <f t="shared" si="80"/>
        <v>131.55557736777939</v>
      </c>
      <c r="BB119" s="149">
        <f t="shared" si="80"/>
        <v>131.55557736777939</v>
      </c>
      <c r="BC119" s="149">
        <f t="shared" si="80"/>
        <v>131.55557736777939</v>
      </c>
      <c r="BD119" s="149">
        <f t="shared" si="80"/>
        <v>131.55557736777939</v>
      </c>
      <c r="BE119" s="149">
        <f t="shared" si="80"/>
        <v>131.55557736777939</v>
      </c>
      <c r="BF119" s="149">
        <f t="shared" si="80"/>
        <v>131.55557736777939</v>
      </c>
      <c r="BG119" s="149">
        <f t="shared" si="80"/>
        <v>131.55557736777939</v>
      </c>
      <c r="BH119" s="149">
        <f t="shared" si="80"/>
        <v>131.55557736777939</v>
      </c>
      <c r="BI119" s="149">
        <f t="shared" si="80"/>
        <v>131.55557736777939</v>
      </c>
      <c r="BJ119" s="149">
        <f t="shared" si="80"/>
        <v>131.55557736777939</v>
      </c>
      <c r="BK119" s="149">
        <f t="shared" si="80"/>
        <v>131.55557736777939</v>
      </c>
      <c r="BL119" s="149">
        <f t="shared" si="80"/>
        <v>131.55557736777939</v>
      </c>
      <c r="BM119" s="149">
        <f t="shared" si="80"/>
        <v>131.55557736777939</v>
      </c>
      <c r="BN119" s="149">
        <f t="shared" si="80"/>
        <v>131.55557736777939</v>
      </c>
      <c r="BO119" s="149">
        <f t="shared" si="80"/>
        <v>131.55557736777939</v>
      </c>
      <c r="BP119" s="149">
        <f t="shared" ref="BP119:CP119" si="81">Total_with_scheme_NOx_emissions-With_scheme_NOx_emissions_in_exceedance</f>
        <v>131.55557736777939</v>
      </c>
      <c r="BQ119" s="149">
        <f t="shared" si="81"/>
        <v>131.55557736777939</v>
      </c>
      <c r="BR119" s="149">
        <f t="shared" si="81"/>
        <v>131.55557736777939</v>
      </c>
      <c r="BS119" s="149">
        <f t="shared" si="81"/>
        <v>131.55557736777939</v>
      </c>
      <c r="BT119" s="149">
        <f t="shared" si="81"/>
        <v>131.55557736777939</v>
      </c>
      <c r="BU119" s="149">
        <f t="shared" si="81"/>
        <v>131.55557736777939</v>
      </c>
      <c r="BV119" s="149">
        <f t="shared" si="81"/>
        <v>131.55557736777939</v>
      </c>
      <c r="BW119" s="149">
        <f t="shared" si="81"/>
        <v>131.55557736777939</v>
      </c>
      <c r="BX119" s="149">
        <f t="shared" si="81"/>
        <v>131.55557736777939</v>
      </c>
      <c r="BY119" s="149">
        <f t="shared" si="81"/>
        <v>131.55557736777939</v>
      </c>
      <c r="BZ119" s="149">
        <f t="shared" si="81"/>
        <v>131.55557736777939</v>
      </c>
      <c r="CA119" s="149">
        <f t="shared" si="81"/>
        <v>131.55557736777939</v>
      </c>
      <c r="CB119" s="149">
        <f t="shared" si="81"/>
        <v>0</v>
      </c>
      <c r="CC119" s="149">
        <f t="shared" si="81"/>
        <v>0</v>
      </c>
      <c r="CD119" s="149">
        <f t="shared" si="81"/>
        <v>0</v>
      </c>
      <c r="CE119" s="149">
        <f t="shared" si="81"/>
        <v>0</v>
      </c>
      <c r="CF119" s="149">
        <f t="shared" si="81"/>
        <v>0</v>
      </c>
      <c r="CG119" s="149">
        <f t="shared" si="81"/>
        <v>0</v>
      </c>
      <c r="CH119" s="149">
        <f t="shared" si="81"/>
        <v>0</v>
      </c>
      <c r="CI119" s="149">
        <f t="shared" si="81"/>
        <v>0</v>
      </c>
      <c r="CJ119" s="149">
        <f t="shared" si="81"/>
        <v>0</v>
      </c>
      <c r="CK119" s="149">
        <f t="shared" si="81"/>
        <v>0</v>
      </c>
      <c r="CL119" s="149">
        <f t="shared" si="81"/>
        <v>0</v>
      </c>
      <c r="CM119" s="149">
        <f t="shared" si="81"/>
        <v>0</v>
      </c>
      <c r="CN119" s="149">
        <f t="shared" si="81"/>
        <v>0</v>
      </c>
      <c r="CO119" s="149">
        <f t="shared" si="81"/>
        <v>0</v>
      </c>
      <c r="CP119" s="149">
        <f t="shared" si="81"/>
        <v>0</v>
      </c>
      <c r="CQ119" s="62" t="s">
        <v>333</v>
      </c>
    </row>
    <row r="120" spans="1:95" outlineLevel="1" x14ac:dyDescent="0.25">
      <c r="B120" s="147" t="s">
        <v>325</v>
      </c>
      <c r="D120" s="149">
        <f t="shared" ref="D120:BO120" si="82">With_scheme_NOx_emissions_not_in_exceedance-Without_scheme_NOx_emissions_not_in_exceedance</f>
        <v>0</v>
      </c>
      <c r="E120" s="149">
        <f t="shared" si="82"/>
        <v>0</v>
      </c>
      <c r="F120" s="149">
        <f t="shared" si="82"/>
        <v>0</v>
      </c>
      <c r="G120" s="149">
        <f t="shared" si="82"/>
        <v>0</v>
      </c>
      <c r="H120" s="149">
        <f t="shared" si="82"/>
        <v>0</v>
      </c>
      <c r="I120" s="149">
        <f t="shared" si="82"/>
        <v>0</v>
      </c>
      <c r="J120" s="149">
        <f t="shared" si="82"/>
        <v>0</v>
      </c>
      <c r="K120" s="149">
        <f t="shared" si="82"/>
        <v>0</v>
      </c>
      <c r="L120" s="149">
        <f t="shared" si="82"/>
        <v>0</v>
      </c>
      <c r="M120" s="149">
        <f t="shared" si="82"/>
        <v>0</v>
      </c>
      <c r="N120" s="149">
        <f t="shared" si="82"/>
        <v>0</v>
      </c>
      <c r="O120" s="149">
        <f t="shared" si="82"/>
        <v>0</v>
      </c>
      <c r="P120" s="149">
        <f t="shared" si="82"/>
        <v>0</v>
      </c>
      <c r="Q120" s="149">
        <f t="shared" si="82"/>
        <v>0</v>
      </c>
      <c r="R120" s="149">
        <f t="shared" si="82"/>
        <v>0</v>
      </c>
      <c r="S120" s="149">
        <f t="shared" si="82"/>
        <v>0</v>
      </c>
      <c r="T120" s="149">
        <f t="shared" si="82"/>
        <v>0.53738699340360085</v>
      </c>
      <c r="U120" s="149">
        <f t="shared" si="82"/>
        <v>0.64017133883984911</v>
      </c>
      <c r="V120" s="149">
        <f t="shared" si="82"/>
        <v>0.74295568427606895</v>
      </c>
      <c r="W120" s="149">
        <f t="shared" si="82"/>
        <v>0.84574002971231721</v>
      </c>
      <c r="X120" s="149">
        <f t="shared" si="82"/>
        <v>0.94852437514856547</v>
      </c>
      <c r="Y120" s="149">
        <f t="shared" si="82"/>
        <v>1.0513087205847569</v>
      </c>
      <c r="Z120" s="149">
        <f t="shared" si="82"/>
        <v>1.1540930660210051</v>
      </c>
      <c r="AA120" s="149">
        <f t="shared" si="82"/>
        <v>1.2568774114572534</v>
      </c>
      <c r="AB120" s="149">
        <f t="shared" si="82"/>
        <v>1.3596617568935017</v>
      </c>
      <c r="AC120" s="149">
        <f t="shared" si="82"/>
        <v>1.4624461023297215</v>
      </c>
      <c r="AD120" s="149">
        <f t="shared" si="82"/>
        <v>1.5652304477659698</v>
      </c>
      <c r="AE120" s="149">
        <f t="shared" si="82"/>
        <v>1.5652304477659698</v>
      </c>
      <c r="AF120" s="149">
        <f t="shared" si="82"/>
        <v>1.5652304477659698</v>
      </c>
      <c r="AG120" s="149">
        <f t="shared" si="82"/>
        <v>1.5652304477659698</v>
      </c>
      <c r="AH120" s="149">
        <f t="shared" si="82"/>
        <v>1.5652304477659698</v>
      </c>
      <c r="AI120" s="149">
        <f t="shared" si="82"/>
        <v>1.5652304477659698</v>
      </c>
      <c r="AJ120" s="149">
        <f t="shared" si="82"/>
        <v>1.5652304477659698</v>
      </c>
      <c r="AK120" s="149">
        <f t="shared" si="82"/>
        <v>1.5652304477659698</v>
      </c>
      <c r="AL120" s="149">
        <f t="shared" si="82"/>
        <v>1.5652304477659698</v>
      </c>
      <c r="AM120" s="149">
        <f t="shared" si="82"/>
        <v>1.5652304477659698</v>
      </c>
      <c r="AN120" s="149">
        <f t="shared" si="82"/>
        <v>1.5652304477659698</v>
      </c>
      <c r="AO120" s="149">
        <f t="shared" si="82"/>
        <v>1.5652304477659698</v>
      </c>
      <c r="AP120" s="149">
        <f t="shared" si="82"/>
        <v>1.5652304477659698</v>
      </c>
      <c r="AQ120" s="149">
        <f t="shared" si="82"/>
        <v>1.5652304477659698</v>
      </c>
      <c r="AR120" s="149">
        <f t="shared" si="82"/>
        <v>1.5652304477659698</v>
      </c>
      <c r="AS120" s="149">
        <f t="shared" si="82"/>
        <v>1.5652304477659698</v>
      </c>
      <c r="AT120" s="149">
        <f t="shared" si="82"/>
        <v>1.5652304477659698</v>
      </c>
      <c r="AU120" s="149">
        <f t="shared" si="82"/>
        <v>1.5652304477659698</v>
      </c>
      <c r="AV120" s="149">
        <f t="shared" si="82"/>
        <v>1.5652304477659698</v>
      </c>
      <c r="AW120" s="149">
        <f t="shared" si="82"/>
        <v>1.5652304477659698</v>
      </c>
      <c r="AX120" s="149">
        <f t="shared" si="82"/>
        <v>1.5652304477659698</v>
      </c>
      <c r="AY120" s="149">
        <f t="shared" si="82"/>
        <v>1.5652304477659698</v>
      </c>
      <c r="AZ120" s="149">
        <f t="shared" si="82"/>
        <v>1.5652304477659698</v>
      </c>
      <c r="BA120" s="149">
        <f t="shared" si="82"/>
        <v>1.5652304477659698</v>
      </c>
      <c r="BB120" s="149">
        <f t="shared" si="82"/>
        <v>1.5652304477659698</v>
      </c>
      <c r="BC120" s="149">
        <f t="shared" si="82"/>
        <v>1.5652304477659698</v>
      </c>
      <c r="BD120" s="149">
        <f t="shared" si="82"/>
        <v>1.5652304477659698</v>
      </c>
      <c r="BE120" s="149">
        <f t="shared" si="82"/>
        <v>1.5652304477659698</v>
      </c>
      <c r="BF120" s="149">
        <f t="shared" si="82"/>
        <v>1.5652304477659698</v>
      </c>
      <c r="BG120" s="149">
        <f t="shared" si="82"/>
        <v>1.5652304477659698</v>
      </c>
      <c r="BH120" s="149">
        <f t="shared" si="82"/>
        <v>1.5652304477659698</v>
      </c>
      <c r="BI120" s="149">
        <f t="shared" si="82"/>
        <v>1.5652304477659698</v>
      </c>
      <c r="BJ120" s="149">
        <f t="shared" si="82"/>
        <v>1.5652304477659698</v>
      </c>
      <c r="BK120" s="149">
        <f t="shared" si="82"/>
        <v>1.5652304477659698</v>
      </c>
      <c r="BL120" s="149">
        <f t="shared" si="82"/>
        <v>1.5652304477659698</v>
      </c>
      <c r="BM120" s="149">
        <f t="shared" si="82"/>
        <v>1.5652304477659698</v>
      </c>
      <c r="BN120" s="149">
        <f t="shared" si="82"/>
        <v>1.5652304477659698</v>
      </c>
      <c r="BO120" s="149">
        <f t="shared" si="82"/>
        <v>1.5652304477659698</v>
      </c>
      <c r="BP120" s="149">
        <f t="shared" ref="BP120:CP120" si="83">With_scheme_NOx_emissions_not_in_exceedance-Without_scheme_NOx_emissions_not_in_exceedance</f>
        <v>1.5652304477659698</v>
      </c>
      <c r="BQ120" s="149">
        <f t="shared" si="83"/>
        <v>1.5652304477659698</v>
      </c>
      <c r="BR120" s="149">
        <f t="shared" si="83"/>
        <v>1.5652304477659698</v>
      </c>
      <c r="BS120" s="149">
        <f t="shared" si="83"/>
        <v>1.5652304477659698</v>
      </c>
      <c r="BT120" s="149">
        <f t="shared" si="83"/>
        <v>1.5652304477659698</v>
      </c>
      <c r="BU120" s="149">
        <f t="shared" si="83"/>
        <v>1.5652304477659698</v>
      </c>
      <c r="BV120" s="149">
        <f t="shared" si="83"/>
        <v>1.5652304477659698</v>
      </c>
      <c r="BW120" s="149">
        <f t="shared" si="83"/>
        <v>1.5652304477659698</v>
      </c>
      <c r="BX120" s="149">
        <f t="shared" si="83"/>
        <v>1.5652304477659698</v>
      </c>
      <c r="BY120" s="149">
        <f t="shared" si="83"/>
        <v>1.5652304477659698</v>
      </c>
      <c r="BZ120" s="149">
        <f t="shared" si="83"/>
        <v>1.5652304477659698</v>
      </c>
      <c r="CA120" s="149">
        <f t="shared" si="83"/>
        <v>1.5652304477659698</v>
      </c>
      <c r="CB120" s="149">
        <f t="shared" si="83"/>
        <v>0</v>
      </c>
      <c r="CC120" s="149">
        <f t="shared" si="83"/>
        <v>0</v>
      </c>
      <c r="CD120" s="149">
        <f t="shared" si="83"/>
        <v>0</v>
      </c>
      <c r="CE120" s="149">
        <f t="shared" si="83"/>
        <v>0</v>
      </c>
      <c r="CF120" s="149">
        <f t="shared" si="83"/>
        <v>0</v>
      </c>
      <c r="CG120" s="149">
        <f t="shared" si="83"/>
        <v>0</v>
      </c>
      <c r="CH120" s="149">
        <f t="shared" si="83"/>
        <v>0</v>
      </c>
      <c r="CI120" s="149">
        <f t="shared" si="83"/>
        <v>0</v>
      </c>
      <c r="CJ120" s="149">
        <f t="shared" si="83"/>
        <v>0</v>
      </c>
      <c r="CK120" s="149">
        <f t="shared" si="83"/>
        <v>0</v>
      </c>
      <c r="CL120" s="149">
        <f t="shared" si="83"/>
        <v>0</v>
      </c>
      <c r="CM120" s="149">
        <f t="shared" si="83"/>
        <v>0</v>
      </c>
      <c r="CN120" s="149">
        <f t="shared" si="83"/>
        <v>0</v>
      </c>
      <c r="CO120" s="149">
        <f t="shared" si="83"/>
        <v>0</v>
      </c>
      <c r="CP120" s="149">
        <f t="shared" si="83"/>
        <v>0</v>
      </c>
      <c r="CQ120" s="62" t="s">
        <v>335</v>
      </c>
    </row>
    <row r="121" spans="1:95" ht="15.75" outlineLevel="1" x14ac:dyDescent="0.25">
      <c r="B121" s="102"/>
      <c r="D121" s="52"/>
    </row>
    <row r="122" spans="1:95" outlineLevel="1" x14ac:dyDescent="0.25">
      <c r="B122" t="s">
        <v>336</v>
      </c>
      <c r="C122" s="53">
        <f>HLOOKUP(Opening_year,NOx_not_in_exceedance_emission_table,2,0)</f>
        <v>136.43438145432202</v>
      </c>
      <c r="D122" s="170" t="s">
        <v>347</v>
      </c>
    </row>
    <row r="123" spans="1:95" outlineLevel="1" x14ac:dyDescent="0.25">
      <c r="B123" t="s">
        <v>337</v>
      </c>
      <c r="C123" s="53">
        <f>HLOOKUP(Opening_year,NOx_not_in_exceedance_emission_table,3,0)</f>
        <v>136.97176844772562</v>
      </c>
      <c r="D123" s="170" t="s">
        <v>348</v>
      </c>
    </row>
    <row r="124" spans="1:95" outlineLevel="1" x14ac:dyDescent="0.25">
      <c r="B124" t="s">
        <v>340</v>
      </c>
      <c r="C124" s="53">
        <f>With_scheme_opening_year_not_in_exceedance-Without_scheme_opening_year_not_in_exceedance</f>
        <v>0.53738699340360085</v>
      </c>
      <c r="D124" s="170" t="s">
        <v>349</v>
      </c>
    </row>
    <row r="125" spans="1:95" outlineLevel="1" x14ac:dyDescent="0.25">
      <c r="C125" s="53"/>
      <c r="D125" s="53"/>
    </row>
    <row r="126" spans="1:95" outlineLevel="1" x14ac:dyDescent="0.25">
      <c r="B126" t="s">
        <v>338</v>
      </c>
      <c r="C126" s="53">
        <f>HLOOKUP(Forecast_year,NOx_not_in_exceedance_emission_table,2,0)</f>
        <v>129.99034692001342</v>
      </c>
      <c r="D126" s="170" t="s">
        <v>350</v>
      </c>
    </row>
    <row r="127" spans="1:95" outlineLevel="1" x14ac:dyDescent="0.25">
      <c r="B127" t="s">
        <v>339</v>
      </c>
      <c r="C127" s="53">
        <f>HLOOKUP(Forecast_year,NOx_not_in_exceedance_emission_table,3,0)</f>
        <v>131.55557736777939</v>
      </c>
      <c r="D127" s="170" t="s">
        <v>351</v>
      </c>
    </row>
    <row r="128" spans="1:95" outlineLevel="1" x14ac:dyDescent="0.25">
      <c r="B128" t="s">
        <v>340</v>
      </c>
      <c r="C128" s="53">
        <f>With_scheme_forecast_year_not_in_exceedance-Without_scheme_forecast_year_not_in_exceedance</f>
        <v>1.5652304477659698</v>
      </c>
      <c r="D128" s="170" t="s">
        <v>352</v>
      </c>
    </row>
    <row r="129" spans="1:95" x14ac:dyDescent="0.25">
      <c r="C129" s="53"/>
      <c r="D129" s="52"/>
    </row>
    <row r="130" spans="1:95" ht="18.75" x14ac:dyDescent="0.3">
      <c r="A130" s="55"/>
      <c r="B130" s="55" t="s">
        <v>418</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row>
    <row r="131" spans="1:95" hidden="1" outlineLevel="1" x14ac:dyDescent="0.25"/>
    <row r="132" spans="1:95" ht="15.75" hidden="1" outlineLevel="1" x14ac:dyDescent="0.25">
      <c r="A132" s="56"/>
      <c r="B132" s="56" t="s">
        <v>77</v>
      </c>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row>
    <row r="133" spans="1:95" ht="15.75" hidden="1" outlineLevel="1" x14ac:dyDescent="0.2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row>
    <row r="134" spans="1:95" ht="15.75" hidden="1" outlineLevel="1" x14ac:dyDescent="0.25">
      <c r="A134" s="77"/>
      <c r="B134" s="77"/>
      <c r="C134" s="76">
        <f>Opening_year</f>
        <v>2026</v>
      </c>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row>
    <row r="135" spans="1:95" ht="15.75" hidden="1" outlineLevel="1" x14ac:dyDescent="0.25">
      <c r="A135" s="77"/>
      <c r="B135" s="141" t="s">
        <v>308</v>
      </c>
      <c r="C135" s="82">
        <f>Opening_year_without_scheme_PM10_concentrations_in</f>
        <v>400879.9</v>
      </c>
      <c r="D135" s="52" t="s">
        <v>135</v>
      </c>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row>
    <row r="136" spans="1:95" ht="15.75" hidden="1" outlineLevel="1"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row>
    <row r="137" spans="1:95" ht="15.75" hidden="1" outlineLevel="1" x14ac:dyDescent="0.25">
      <c r="A137" s="77"/>
      <c r="B137" s="77"/>
      <c r="C137" s="76">
        <f>Forecast_year</f>
        <v>2036</v>
      </c>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row>
    <row r="138" spans="1:95" ht="15.75" hidden="1" outlineLevel="1" x14ac:dyDescent="0.25">
      <c r="A138" s="77"/>
      <c r="B138" s="141" t="s">
        <v>309</v>
      </c>
      <c r="C138" s="82">
        <f>Forecast_year_without_scheme_PM10_concentrations_in</f>
        <v>398872.5</v>
      </c>
      <c r="D138" s="52" t="s">
        <v>136</v>
      </c>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row>
    <row r="139" spans="1:95" ht="15.75" hidden="1" outlineLevel="1"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row>
    <row r="140" spans="1:95" ht="15.75" hidden="1" outlineLevel="1" x14ac:dyDescent="0.25">
      <c r="A140" s="77"/>
      <c r="B140" s="142" t="s">
        <v>92</v>
      </c>
      <c r="C140" s="141">
        <f>Forecast_year_without_scheme_PM10_concentrations-Opening_year_without_scheme_PM10_concentrations</f>
        <v>-2007.4000000000233</v>
      </c>
      <c r="D140" s="143" t="s">
        <v>310</v>
      </c>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row>
    <row r="141" spans="1:95" hidden="1" outlineLevel="1" x14ac:dyDescent="0.25"/>
    <row r="142" spans="1:95" hidden="1" outlineLevel="1" x14ac:dyDescent="0.25">
      <c r="B142" t="s">
        <v>13</v>
      </c>
      <c r="D142" s="53">
        <f t="shared" ref="D142:BO142" si="84">Opening_year_without_scheme_PM10_concentrations*Opening_year_mask</f>
        <v>0</v>
      </c>
      <c r="E142" s="53">
        <f t="shared" si="84"/>
        <v>0</v>
      </c>
      <c r="F142" s="53">
        <f t="shared" si="84"/>
        <v>0</v>
      </c>
      <c r="G142" s="53">
        <f t="shared" si="84"/>
        <v>0</v>
      </c>
      <c r="H142" s="53">
        <f t="shared" si="84"/>
        <v>0</v>
      </c>
      <c r="I142" s="53">
        <f t="shared" si="84"/>
        <v>0</v>
      </c>
      <c r="J142" s="53">
        <f t="shared" si="84"/>
        <v>0</v>
      </c>
      <c r="K142" s="53">
        <f t="shared" si="84"/>
        <v>0</v>
      </c>
      <c r="L142" s="53">
        <f t="shared" si="84"/>
        <v>0</v>
      </c>
      <c r="M142" s="53">
        <f t="shared" si="84"/>
        <v>0</v>
      </c>
      <c r="N142" s="53">
        <f t="shared" si="84"/>
        <v>0</v>
      </c>
      <c r="O142" s="53">
        <f t="shared" si="84"/>
        <v>0</v>
      </c>
      <c r="P142" s="53">
        <f t="shared" si="84"/>
        <v>0</v>
      </c>
      <c r="Q142" s="53">
        <f t="shared" si="84"/>
        <v>0</v>
      </c>
      <c r="R142" s="53">
        <f t="shared" si="84"/>
        <v>0</v>
      </c>
      <c r="S142" s="53">
        <f t="shared" si="84"/>
        <v>0</v>
      </c>
      <c r="T142" s="53">
        <f t="shared" si="84"/>
        <v>400879.9</v>
      </c>
      <c r="U142" s="53">
        <f t="shared" si="84"/>
        <v>0</v>
      </c>
      <c r="V142" s="53">
        <f t="shared" si="84"/>
        <v>0</v>
      </c>
      <c r="W142" s="53">
        <f t="shared" si="84"/>
        <v>0</v>
      </c>
      <c r="X142" s="53">
        <f t="shared" si="84"/>
        <v>0</v>
      </c>
      <c r="Y142" s="53">
        <f t="shared" si="84"/>
        <v>0</v>
      </c>
      <c r="Z142" s="53">
        <f t="shared" si="84"/>
        <v>0</v>
      </c>
      <c r="AA142" s="53">
        <f t="shared" si="84"/>
        <v>0</v>
      </c>
      <c r="AB142" s="53">
        <f t="shared" si="84"/>
        <v>0</v>
      </c>
      <c r="AC142" s="53">
        <f t="shared" si="84"/>
        <v>0</v>
      </c>
      <c r="AD142" s="53">
        <f t="shared" si="84"/>
        <v>0</v>
      </c>
      <c r="AE142" s="53">
        <f t="shared" si="84"/>
        <v>0</v>
      </c>
      <c r="AF142" s="53">
        <f t="shared" si="84"/>
        <v>0</v>
      </c>
      <c r="AG142" s="53">
        <f t="shared" si="84"/>
        <v>0</v>
      </c>
      <c r="AH142" s="53">
        <f t="shared" si="84"/>
        <v>0</v>
      </c>
      <c r="AI142" s="53">
        <f t="shared" si="84"/>
        <v>0</v>
      </c>
      <c r="AJ142" s="53">
        <f t="shared" si="84"/>
        <v>0</v>
      </c>
      <c r="AK142" s="53">
        <f t="shared" si="84"/>
        <v>0</v>
      </c>
      <c r="AL142" s="53">
        <f t="shared" si="84"/>
        <v>0</v>
      </c>
      <c r="AM142" s="53">
        <f t="shared" si="84"/>
        <v>0</v>
      </c>
      <c r="AN142" s="53">
        <f t="shared" si="84"/>
        <v>0</v>
      </c>
      <c r="AO142" s="53">
        <f t="shared" si="84"/>
        <v>0</v>
      </c>
      <c r="AP142" s="53">
        <f t="shared" si="84"/>
        <v>0</v>
      </c>
      <c r="AQ142" s="53">
        <f t="shared" si="84"/>
        <v>0</v>
      </c>
      <c r="AR142" s="53">
        <f t="shared" si="84"/>
        <v>0</v>
      </c>
      <c r="AS142" s="53">
        <f t="shared" si="84"/>
        <v>0</v>
      </c>
      <c r="AT142" s="53">
        <f t="shared" si="84"/>
        <v>0</v>
      </c>
      <c r="AU142" s="53">
        <f t="shared" si="84"/>
        <v>0</v>
      </c>
      <c r="AV142" s="53">
        <f t="shared" si="84"/>
        <v>0</v>
      </c>
      <c r="AW142" s="53">
        <f t="shared" si="84"/>
        <v>0</v>
      </c>
      <c r="AX142" s="53">
        <f t="shared" si="84"/>
        <v>0</v>
      </c>
      <c r="AY142" s="53">
        <f t="shared" si="84"/>
        <v>0</v>
      </c>
      <c r="AZ142" s="53">
        <f t="shared" si="84"/>
        <v>0</v>
      </c>
      <c r="BA142" s="53">
        <f t="shared" si="84"/>
        <v>0</v>
      </c>
      <c r="BB142" s="53">
        <f t="shared" si="84"/>
        <v>0</v>
      </c>
      <c r="BC142" s="53">
        <f t="shared" si="84"/>
        <v>0</v>
      </c>
      <c r="BD142" s="53">
        <f t="shared" si="84"/>
        <v>0</v>
      </c>
      <c r="BE142" s="53">
        <f t="shared" si="84"/>
        <v>0</v>
      </c>
      <c r="BF142" s="53">
        <f t="shared" si="84"/>
        <v>0</v>
      </c>
      <c r="BG142" s="53">
        <f t="shared" si="84"/>
        <v>0</v>
      </c>
      <c r="BH142" s="53">
        <f t="shared" si="84"/>
        <v>0</v>
      </c>
      <c r="BI142" s="53">
        <f t="shared" si="84"/>
        <v>0</v>
      </c>
      <c r="BJ142" s="53">
        <f t="shared" si="84"/>
        <v>0</v>
      </c>
      <c r="BK142" s="53">
        <f t="shared" si="84"/>
        <v>0</v>
      </c>
      <c r="BL142" s="53">
        <f t="shared" si="84"/>
        <v>0</v>
      </c>
      <c r="BM142" s="53">
        <f t="shared" si="84"/>
        <v>0</v>
      </c>
      <c r="BN142" s="53">
        <f t="shared" si="84"/>
        <v>0</v>
      </c>
      <c r="BO142" s="53">
        <f t="shared" si="84"/>
        <v>0</v>
      </c>
      <c r="BP142" s="53">
        <f t="shared" ref="BP142:CP142" si="85">Opening_year_without_scheme_PM10_concentrations*Opening_year_mask</f>
        <v>0</v>
      </c>
      <c r="BQ142" s="53">
        <f t="shared" si="85"/>
        <v>0</v>
      </c>
      <c r="BR142" s="53">
        <f t="shared" si="85"/>
        <v>0</v>
      </c>
      <c r="BS142" s="53">
        <f t="shared" si="85"/>
        <v>0</v>
      </c>
      <c r="BT142" s="53">
        <f t="shared" si="85"/>
        <v>0</v>
      </c>
      <c r="BU142" s="53">
        <f t="shared" si="85"/>
        <v>0</v>
      </c>
      <c r="BV142" s="53">
        <f t="shared" si="85"/>
        <v>0</v>
      </c>
      <c r="BW142" s="53">
        <f t="shared" si="85"/>
        <v>0</v>
      </c>
      <c r="BX142" s="53">
        <f t="shared" si="85"/>
        <v>0</v>
      </c>
      <c r="BY142" s="53">
        <f t="shared" si="85"/>
        <v>0</v>
      </c>
      <c r="BZ142" s="53">
        <f t="shared" si="85"/>
        <v>0</v>
      </c>
      <c r="CA142" s="53">
        <f t="shared" si="85"/>
        <v>0</v>
      </c>
      <c r="CB142" s="53">
        <f t="shared" si="85"/>
        <v>0</v>
      </c>
      <c r="CC142" s="53">
        <f t="shared" si="85"/>
        <v>0</v>
      </c>
      <c r="CD142" s="53">
        <f t="shared" si="85"/>
        <v>0</v>
      </c>
      <c r="CE142" s="53">
        <f t="shared" si="85"/>
        <v>0</v>
      </c>
      <c r="CF142" s="53">
        <f t="shared" si="85"/>
        <v>0</v>
      </c>
      <c r="CG142" s="53">
        <f t="shared" si="85"/>
        <v>0</v>
      </c>
      <c r="CH142" s="53">
        <f t="shared" si="85"/>
        <v>0</v>
      </c>
      <c r="CI142" s="53">
        <f t="shared" si="85"/>
        <v>0</v>
      </c>
      <c r="CJ142" s="53">
        <f t="shared" si="85"/>
        <v>0</v>
      </c>
      <c r="CK142" s="53">
        <f t="shared" si="85"/>
        <v>0</v>
      </c>
      <c r="CL142" s="53">
        <f t="shared" si="85"/>
        <v>0</v>
      </c>
      <c r="CM142" s="53">
        <f t="shared" si="85"/>
        <v>0</v>
      </c>
      <c r="CN142" s="53">
        <f t="shared" si="85"/>
        <v>0</v>
      </c>
      <c r="CO142" s="53">
        <f t="shared" si="85"/>
        <v>0</v>
      </c>
      <c r="CP142" s="53">
        <f t="shared" si="85"/>
        <v>0</v>
      </c>
      <c r="CQ142" s="52" t="s">
        <v>233</v>
      </c>
    </row>
    <row r="143" spans="1:95" hidden="1" outlineLevel="1" x14ac:dyDescent="0.25">
      <c r="B143" t="s">
        <v>75</v>
      </c>
      <c r="D143" s="53">
        <f t="shared" ref="D143:BO143" si="86">Forecast_year_without_scheme_PM10_concentrations*Forecast_year_mask</f>
        <v>0</v>
      </c>
      <c r="E143" s="53">
        <f t="shared" si="86"/>
        <v>0</v>
      </c>
      <c r="F143" s="53">
        <f t="shared" si="86"/>
        <v>0</v>
      </c>
      <c r="G143" s="53">
        <f t="shared" si="86"/>
        <v>0</v>
      </c>
      <c r="H143" s="53">
        <f t="shared" si="86"/>
        <v>0</v>
      </c>
      <c r="I143" s="53">
        <f t="shared" si="86"/>
        <v>0</v>
      </c>
      <c r="J143" s="53">
        <f t="shared" si="86"/>
        <v>0</v>
      </c>
      <c r="K143" s="53">
        <f t="shared" si="86"/>
        <v>0</v>
      </c>
      <c r="L143" s="53">
        <f t="shared" si="86"/>
        <v>0</v>
      </c>
      <c r="M143" s="53">
        <f t="shared" si="86"/>
        <v>0</v>
      </c>
      <c r="N143" s="53">
        <f t="shared" si="86"/>
        <v>0</v>
      </c>
      <c r="O143" s="53">
        <f t="shared" si="86"/>
        <v>0</v>
      </c>
      <c r="P143" s="53">
        <f t="shared" si="86"/>
        <v>0</v>
      </c>
      <c r="Q143" s="53">
        <f t="shared" si="86"/>
        <v>0</v>
      </c>
      <c r="R143" s="53">
        <f t="shared" si="86"/>
        <v>0</v>
      </c>
      <c r="S143" s="53">
        <f t="shared" si="86"/>
        <v>0</v>
      </c>
      <c r="T143" s="53">
        <f t="shared" si="86"/>
        <v>0</v>
      </c>
      <c r="U143" s="53">
        <f t="shared" si="86"/>
        <v>0</v>
      </c>
      <c r="V143" s="53">
        <f t="shared" si="86"/>
        <v>0</v>
      </c>
      <c r="W143" s="53">
        <f t="shared" si="86"/>
        <v>0</v>
      </c>
      <c r="X143" s="53">
        <f t="shared" si="86"/>
        <v>0</v>
      </c>
      <c r="Y143" s="53">
        <f t="shared" si="86"/>
        <v>0</v>
      </c>
      <c r="Z143" s="53">
        <f t="shared" si="86"/>
        <v>0</v>
      </c>
      <c r="AA143" s="53">
        <f t="shared" si="86"/>
        <v>0</v>
      </c>
      <c r="AB143" s="53">
        <f t="shared" si="86"/>
        <v>0</v>
      </c>
      <c r="AC143" s="53">
        <f t="shared" si="86"/>
        <v>0</v>
      </c>
      <c r="AD143" s="53">
        <f t="shared" si="86"/>
        <v>398872.5</v>
      </c>
      <c r="AE143" s="53">
        <f t="shared" si="86"/>
        <v>0</v>
      </c>
      <c r="AF143" s="53">
        <f t="shared" si="86"/>
        <v>0</v>
      </c>
      <c r="AG143" s="53">
        <f t="shared" si="86"/>
        <v>0</v>
      </c>
      <c r="AH143" s="53">
        <f t="shared" si="86"/>
        <v>0</v>
      </c>
      <c r="AI143" s="53">
        <f t="shared" si="86"/>
        <v>0</v>
      </c>
      <c r="AJ143" s="53">
        <f t="shared" si="86"/>
        <v>0</v>
      </c>
      <c r="AK143" s="53">
        <f t="shared" si="86"/>
        <v>0</v>
      </c>
      <c r="AL143" s="53">
        <f t="shared" si="86"/>
        <v>0</v>
      </c>
      <c r="AM143" s="53">
        <f t="shared" si="86"/>
        <v>0</v>
      </c>
      <c r="AN143" s="53">
        <f t="shared" si="86"/>
        <v>0</v>
      </c>
      <c r="AO143" s="53">
        <f t="shared" si="86"/>
        <v>0</v>
      </c>
      <c r="AP143" s="53">
        <f t="shared" si="86"/>
        <v>0</v>
      </c>
      <c r="AQ143" s="53">
        <f t="shared" si="86"/>
        <v>0</v>
      </c>
      <c r="AR143" s="53">
        <f t="shared" si="86"/>
        <v>0</v>
      </c>
      <c r="AS143" s="53">
        <f t="shared" si="86"/>
        <v>0</v>
      </c>
      <c r="AT143" s="53">
        <f t="shared" si="86"/>
        <v>0</v>
      </c>
      <c r="AU143" s="53">
        <f t="shared" si="86"/>
        <v>0</v>
      </c>
      <c r="AV143" s="53">
        <f t="shared" si="86"/>
        <v>0</v>
      </c>
      <c r="AW143" s="53">
        <f t="shared" si="86"/>
        <v>0</v>
      </c>
      <c r="AX143" s="53">
        <f t="shared" si="86"/>
        <v>0</v>
      </c>
      <c r="AY143" s="53">
        <f t="shared" si="86"/>
        <v>0</v>
      </c>
      <c r="AZ143" s="53">
        <f t="shared" si="86"/>
        <v>0</v>
      </c>
      <c r="BA143" s="53">
        <f t="shared" si="86"/>
        <v>0</v>
      </c>
      <c r="BB143" s="53">
        <f t="shared" si="86"/>
        <v>0</v>
      </c>
      <c r="BC143" s="53">
        <f t="shared" si="86"/>
        <v>0</v>
      </c>
      <c r="BD143" s="53">
        <f t="shared" si="86"/>
        <v>0</v>
      </c>
      <c r="BE143" s="53">
        <f t="shared" si="86"/>
        <v>0</v>
      </c>
      <c r="BF143" s="53">
        <f t="shared" si="86"/>
        <v>0</v>
      </c>
      <c r="BG143" s="53">
        <f t="shared" si="86"/>
        <v>0</v>
      </c>
      <c r="BH143" s="53">
        <f t="shared" si="86"/>
        <v>0</v>
      </c>
      <c r="BI143" s="53">
        <f t="shared" si="86"/>
        <v>0</v>
      </c>
      <c r="BJ143" s="53">
        <f t="shared" si="86"/>
        <v>0</v>
      </c>
      <c r="BK143" s="53">
        <f t="shared" si="86"/>
        <v>0</v>
      </c>
      <c r="BL143" s="53">
        <f t="shared" si="86"/>
        <v>0</v>
      </c>
      <c r="BM143" s="53">
        <f t="shared" si="86"/>
        <v>0</v>
      </c>
      <c r="BN143" s="53">
        <f t="shared" si="86"/>
        <v>0</v>
      </c>
      <c r="BO143" s="53">
        <f t="shared" si="86"/>
        <v>0</v>
      </c>
      <c r="BP143" s="53">
        <f t="shared" ref="BP143:CP143" si="87">Forecast_year_without_scheme_PM10_concentrations*Forecast_year_mask</f>
        <v>0</v>
      </c>
      <c r="BQ143" s="53">
        <f t="shared" si="87"/>
        <v>0</v>
      </c>
      <c r="BR143" s="53">
        <f t="shared" si="87"/>
        <v>0</v>
      </c>
      <c r="BS143" s="53">
        <f t="shared" si="87"/>
        <v>0</v>
      </c>
      <c r="BT143" s="53">
        <f t="shared" si="87"/>
        <v>0</v>
      </c>
      <c r="BU143" s="53">
        <f t="shared" si="87"/>
        <v>0</v>
      </c>
      <c r="BV143" s="53">
        <f t="shared" si="87"/>
        <v>0</v>
      </c>
      <c r="BW143" s="53">
        <f t="shared" si="87"/>
        <v>0</v>
      </c>
      <c r="BX143" s="53">
        <f t="shared" si="87"/>
        <v>0</v>
      </c>
      <c r="BY143" s="53">
        <f t="shared" si="87"/>
        <v>0</v>
      </c>
      <c r="BZ143" s="53">
        <f t="shared" si="87"/>
        <v>0</v>
      </c>
      <c r="CA143" s="53">
        <f t="shared" si="87"/>
        <v>0</v>
      </c>
      <c r="CB143" s="53">
        <f t="shared" si="87"/>
        <v>0</v>
      </c>
      <c r="CC143" s="53">
        <f t="shared" si="87"/>
        <v>0</v>
      </c>
      <c r="CD143" s="53">
        <f t="shared" si="87"/>
        <v>0</v>
      </c>
      <c r="CE143" s="53">
        <f t="shared" si="87"/>
        <v>0</v>
      </c>
      <c r="CF143" s="53">
        <f t="shared" si="87"/>
        <v>0</v>
      </c>
      <c r="CG143" s="53">
        <f t="shared" si="87"/>
        <v>0</v>
      </c>
      <c r="CH143" s="53">
        <f t="shared" si="87"/>
        <v>0</v>
      </c>
      <c r="CI143" s="53">
        <f t="shared" si="87"/>
        <v>0</v>
      </c>
      <c r="CJ143" s="53">
        <f t="shared" si="87"/>
        <v>0</v>
      </c>
      <c r="CK143" s="53">
        <f t="shared" si="87"/>
        <v>0</v>
      </c>
      <c r="CL143" s="53">
        <f t="shared" si="87"/>
        <v>0</v>
      </c>
      <c r="CM143" s="53">
        <f t="shared" si="87"/>
        <v>0</v>
      </c>
      <c r="CN143" s="53">
        <f t="shared" si="87"/>
        <v>0</v>
      </c>
      <c r="CO143" s="53">
        <f t="shared" si="87"/>
        <v>0</v>
      </c>
      <c r="CP143" s="53">
        <f t="shared" si="87"/>
        <v>0</v>
      </c>
      <c r="CQ143" s="52" t="s">
        <v>234</v>
      </c>
    </row>
    <row r="144" spans="1:95" hidden="1" outlineLevel="1" x14ac:dyDescent="0.25">
      <c r="B144" t="s">
        <v>84</v>
      </c>
      <c r="D144" s="53">
        <f t="shared" ref="D144:AI144" si="88">(Opening_year_without_scheme_PM10_concentrations+(Difference_without_scheme_PM10_concentrations)*(year-Opening_year)/(Interpolation_period_length))*Interpolation_mask</f>
        <v>0</v>
      </c>
      <c r="E144" s="53">
        <f t="shared" si="88"/>
        <v>0</v>
      </c>
      <c r="F144" s="53">
        <f t="shared" si="88"/>
        <v>0</v>
      </c>
      <c r="G144" s="53">
        <f t="shared" si="88"/>
        <v>0</v>
      </c>
      <c r="H144" s="53">
        <f t="shared" si="88"/>
        <v>0</v>
      </c>
      <c r="I144" s="53">
        <f t="shared" si="88"/>
        <v>0</v>
      </c>
      <c r="J144" s="53">
        <f t="shared" si="88"/>
        <v>0</v>
      </c>
      <c r="K144" s="53">
        <f t="shared" si="88"/>
        <v>0</v>
      </c>
      <c r="L144" s="53">
        <f t="shared" si="88"/>
        <v>0</v>
      </c>
      <c r="M144" s="53">
        <f t="shared" si="88"/>
        <v>0</v>
      </c>
      <c r="N144" s="53">
        <f t="shared" si="88"/>
        <v>0</v>
      </c>
      <c r="O144" s="53">
        <f t="shared" si="88"/>
        <v>0</v>
      </c>
      <c r="P144" s="53">
        <f t="shared" si="88"/>
        <v>0</v>
      </c>
      <c r="Q144" s="53">
        <f t="shared" si="88"/>
        <v>0</v>
      </c>
      <c r="R144" s="53">
        <f t="shared" si="88"/>
        <v>0</v>
      </c>
      <c r="S144" s="53">
        <f t="shared" si="88"/>
        <v>0</v>
      </c>
      <c r="T144" s="53">
        <f t="shared" si="88"/>
        <v>0</v>
      </c>
      <c r="U144" s="53">
        <f t="shared" si="88"/>
        <v>400679.16000000003</v>
      </c>
      <c r="V144" s="53">
        <f t="shared" si="88"/>
        <v>400478.42000000004</v>
      </c>
      <c r="W144" s="53">
        <f t="shared" si="88"/>
        <v>400277.68</v>
      </c>
      <c r="X144" s="53">
        <f t="shared" si="88"/>
        <v>400076.94</v>
      </c>
      <c r="Y144" s="53">
        <f t="shared" si="88"/>
        <v>399876.2</v>
      </c>
      <c r="Z144" s="53">
        <f t="shared" si="88"/>
        <v>399675.46</v>
      </c>
      <c r="AA144" s="53">
        <f t="shared" si="88"/>
        <v>399474.72000000003</v>
      </c>
      <c r="AB144" s="53">
        <f t="shared" si="88"/>
        <v>399273.98</v>
      </c>
      <c r="AC144" s="53">
        <f t="shared" si="88"/>
        <v>399073.24</v>
      </c>
      <c r="AD144" s="53">
        <f t="shared" si="88"/>
        <v>0</v>
      </c>
      <c r="AE144" s="53">
        <f t="shared" si="88"/>
        <v>0</v>
      </c>
      <c r="AF144" s="53">
        <f t="shared" si="88"/>
        <v>0</v>
      </c>
      <c r="AG144" s="53">
        <f t="shared" si="88"/>
        <v>0</v>
      </c>
      <c r="AH144" s="53">
        <f t="shared" si="88"/>
        <v>0</v>
      </c>
      <c r="AI144" s="53">
        <f t="shared" si="88"/>
        <v>0</v>
      </c>
      <c r="AJ144" s="53">
        <f t="shared" ref="AJ144:BO144" si="89">(Opening_year_without_scheme_PM10_concentrations+(Difference_without_scheme_PM10_concentrations)*(year-Opening_year)/(Interpolation_period_length))*Interpolation_mask</f>
        <v>0</v>
      </c>
      <c r="AK144" s="53">
        <f t="shared" si="89"/>
        <v>0</v>
      </c>
      <c r="AL144" s="53">
        <f t="shared" si="89"/>
        <v>0</v>
      </c>
      <c r="AM144" s="53">
        <f t="shared" si="89"/>
        <v>0</v>
      </c>
      <c r="AN144" s="53">
        <f t="shared" si="89"/>
        <v>0</v>
      </c>
      <c r="AO144" s="53">
        <f t="shared" si="89"/>
        <v>0</v>
      </c>
      <c r="AP144" s="53">
        <f t="shared" si="89"/>
        <v>0</v>
      </c>
      <c r="AQ144" s="53">
        <f t="shared" si="89"/>
        <v>0</v>
      </c>
      <c r="AR144" s="53">
        <f t="shared" si="89"/>
        <v>0</v>
      </c>
      <c r="AS144" s="53">
        <f t="shared" si="89"/>
        <v>0</v>
      </c>
      <c r="AT144" s="53">
        <f t="shared" si="89"/>
        <v>0</v>
      </c>
      <c r="AU144" s="53">
        <f t="shared" si="89"/>
        <v>0</v>
      </c>
      <c r="AV144" s="53">
        <f t="shared" si="89"/>
        <v>0</v>
      </c>
      <c r="AW144" s="53">
        <f t="shared" si="89"/>
        <v>0</v>
      </c>
      <c r="AX144" s="53">
        <f t="shared" si="89"/>
        <v>0</v>
      </c>
      <c r="AY144" s="53">
        <f t="shared" si="89"/>
        <v>0</v>
      </c>
      <c r="AZ144" s="53">
        <f t="shared" si="89"/>
        <v>0</v>
      </c>
      <c r="BA144" s="53">
        <f t="shared" si="89"/>
        <v>0</v>
      </c>
      <c r="BB144" s="53">
        <f t="shared" si="89"/>
        <v>0</v>
      </c>
      <c r="BC144" s="53">
        <f t="shared" si="89"/>
        <v>0</v>
      </c>
      <c r="BD144" s="53">
        <f t="shared" si="89"/>
        <v>0</v>
      </c>
      <c r="BE144" s="53">
        <f t="shared" si="89"/>
        <v>0</v>
      </c>
      <c r="BF144" s="53">
        <f t="shared" si="89"/>
        <v>0</v>
      </c>
      <c r="BG144" s="53">
        <f t="shared" si="89"/>
        <v>0</v>
      </c>
      <c r="BH144" s="53">
        <f t="shared" si="89"/>
        <v>0</v>
      </c>
      <c r="BI144" s="53">
        <f t="shared" si="89"/>
        <v>0</v>
      </c>
      <c r="BJ144" s="53">
        <f t="shared" si="89"/>
        <v>0</v>
      </c>
      <c r="BK144" s="53">
        <f t="shared" si="89"/>
        <v>0</v>
      </c>
      <c r="BL144" s="53">
        <f t="shared" si="89"/>
        <v>0</v>
      </c>
      <c r="BM144" s="53">
        <f t="shared" si="89"/>
        <v>0</v>
      </c>
      <c r="BN144" s="53">
        <f t="shared" si="89"/>
        <v>0</v>
      </c>
      <c r="BO144" s="53">
        <f t="shared" si="89"/>
        <v>0</v>
      </c>
      <c r="BP144" s="53">
        <f t="shared" ref="BP144:CP144" si="90">(Opening_year_without_scheme_PM10_concentrations+(Difference_without_scheme_PM10_concentrations)*(year-Opening_year)/(Interpolation_period_length))*Interpolation_mask</f>
        <v>0</v>
      </c>
      <c r="BQ144" s="53">
        <f t="shared" si="90"/>
        <v>0</v>
      </c>
      <c r="BR144" s="53">
        <f t="shared" si="90"/>
        <v>0</v>
      </c>
      <c r="BS144" s="53">
        <f t="shared" si="90"/>
        <v>0</v>
      </c>
      <c r="BT144" s="53">
        <f t="shared" si="90"/>
        <v>0</v>
      </c>
      <c r="BU144" s="53">
        <f t="shared" si="90"/>
        <v>0</v>
      </c>
      <c r="BV144" s="53">
        <f t="shared" si="90"/>
        <v>0</v>
      </c>
      <c r="BW144" s="53">
        <f t="shared" si="90"/>
        <v>0</v>
      </c>
      <c r="BX144" s="53">
        <f t="shared" si="90"/>
        <v>0</v>
      </c>
      <c r="BY144" s="53">
        <f t="shared" si="90"/>
        <v>0</v>
      </c>
      <c r="BZ144" s="53">
        <f t="shared" si="90"/>
        <v>0</v>
      </c>
      <c r="CA144" s="53">
        <f t="shared" si="90"/>
        <v>0</v>
      </c>
      <c r="CB144" s="53">
        <f t="shared" si="90"/>
        <v>0</v>
      </c>
      <c r="CC144" s="53">
        <f t="shared" si="90"/>
        <v>0</v>
      </c>
      <c r="CD144" s="53">
        <f t="shared" si="90"/>
        <v>0</v>
      </c>
      <c r="CE144" s="53">
        <f t="shared" si="90"/>
        <v>0</v>
      </c>
      <c r="CF144" s="53">
        <f t="shared" si="90"/>
        <v>0</v>
      </c>
      <c r="CG144" s="53">
        <f t="shared" si="90"/>
        <v>0</v>
      </c>
      <c r="CH144" s="53">
        <f t="shared" si="90"/>
        <v>0</v>
      </c>
      <c r="CI144" s="53">
        <f t="shared" si="90"/>
        <v>0</v>
      </c>
      <c r="CJ144" s="53">
        <f t="shared" si="90"/>
        <v>0</v>
      </c>
      <c r="CK144" s="53">
        <f t="shared" si="90"/>
        <v>0</v>
      </c>
      <c r="CL144" s="53">
        <f t="shared" si="90"/>
        <v>0</v>
      </c>
      <c r="CM144" s="53">
        <f t="shared" si="90"/>
        <v>0</v>
      </c>
      <c r="CN144" s="53">
        <f t="shared" si="90"/>
        <v>0</v>
      </c>
      <c r="CO144" s="53">
        <f t="shared" si="90"/>
        <v>0</v>
      </c>
      <c r="CP144" s="53">
        <f t="shared" si="90"/>
        <v>0</v>
      </c>
      <c r="CQ144" s="52" t="s">
        <v>232</v>
      </c>
    </row>
    <row r="145" spans="1:95" hidden="1" outlineLevel="1" x14ac:dyDescent="0.25">
      <c r="B145" t="s">
        <v>115</v>
      </c>
      <c r="D145" s="53">
        <f t="shared" ref="D145:BO145" si="91">Forecast_year_without_scheme_PM10_concentrations*Extrapolation_mask</f>
        <v>0</v>
      </c>
      <c r="E145" s="53">
        <f t="shared" si="91"/>
        <v>0</v>
      </c>
      <c r="F145" s="53">
        <f t="shared" si="91"/>
        <v>0</v>
      </c>
      <c r="G145" s="53">
        <f t="shared" si="91"/>
        <v>0</v>
      </c>
      <c r="H145" s="53">
        <f t="shared" si="91"/>
        <v>0</v>
      </c>
      <c r="I145" s="53">
        <f t="shared" si="91"/>
        <v>0</v>
      </c>
      <c r="J145" s="53">
        <f t="shared" si="91"/>
        <v>0</v>
      </c>
      <c r="K145" s="53">
        <f t="shared" si="91"/>
        <v>0</v>
      </c>
      <c r="L145" s="53">
        <f t="shared" si="91"/>
        <v>0</v>
      </c>
      <c r="M145" s="53">
        <f t="shared" si="91"/>
        <v>0</v>
      </c>
      <c r="N145" s="53">
        <f t="shared" si="91"/>
        <v>0</v>
      </c>
      <c r="O145" s="53">
        <f t="shared" si="91"/>
        <v>0</v>
      </c>
      <c r="P145" s="53">
        <f t="shared" si="91"/>
        <v>0</v>
      </c>
      <c r="Q145" s="53">
        <f t="shared" si="91"/>
        <v>0</v>
      </c>
      <c r="R145" s="53">
        <f t="shared" si="91"/>
        <v>0</v>
      </c>
      <c r="S145" s="53">
        <f t="shared" si="91"/>
        <v>0</v>
      </c>
      <c r="T145" s="53">
        <f t="shared" si="91"/>
        <v>0</v>
      </c>
      <c r="U145" s="53">
        <f t="shared" si="91"/>
        <v>0</v>
      </c>
      <c r="V145" s="53">
        <f t="shared" si="91"/>
        <v>0</v>
      </c>
      <c r="W145" s="53">
        <f t="shared" si="91"/>
        <v>0</v>
      </c>
      <c r="X145" s="53">
        <f t="shared" si="91"/>
        <v>0</v>
      </c>
      <c r="Y145" s="53">
        <f t="shared" si="91"/>
        <v>0</v>
      </c>
      <c r="Z145" s="53">
        <f t="shared" si="91"/>
        <v>0</v>
      </c>
      <c r="AA145" s="53">
        <f t="shared" si="91"/>
        <v>0</v>
      </c>
      <c r="AB145" s="53">
        <f t="shared" si="91"/>
        <v>0</v>
      </c>
      <c r="AC145" s="53">
        <f t="shared" si="91"/>
        <v>0</v>
      </c>
      <c r="AD145" s="53">
        <f t="shared" si="91"/>
        <v>0</v>
      </c>
      <c r="AE145" s="53">
        <f t="shared" si="91"/>
        <v>398872.5</v>
      </c>
      <c r="AF145" s="53">
        <f t="shared" si="91"/>
        <v>398872.5</v>
      </c>
      <c r="AG145" s="53">
        <f t="shared" si="91"/>
        <v>398872.5</v>
      </c>
      <c r="AH145" s="53">
        <f t="shared" si="91"/>
        <v>398872.5</v>
      </c>
      <c r="AI145" s="53">
        <f t="shared" si="91"/>
        <v>398872.5</v>
      </c>
      <c r="AJ145" s="53">
        <f t="shared" si="91"/>
        <v>398872.5</v>
      </c>
      <c r="AK145" s="53">
        <f t="shared" si="91"/>
        <v>398872.5</v>
      </c>
      <c r="AL145" s="53">
        <f t="shared" si="91"/>
        <v>398872.5</v>
      </c>
      <c r="AM145" s="53">
        <f t="shared" si="91"/>
        <v>398872.5</v>
      </c>
      <c r="AN145" s="53">
        <f t="shared" si="91"/>
        <v>398872.5</v>
      </c>
      <c r="AO145" s="53">
        <f t="shared" si="91"/>
        <v>398872.5</v>
      </c>
      <c r="AP145" s="53">
        <f t="shared" si="91"/>
        <v>398872.5</v>
      </c>
      <c r="AQ145" s="53">
        <f t="shared" si="91"/>
        <v>398872.5</v>
      </c>
      <c r="AR145" s="53">
        <f t="shared" si="91"/>
        <v>398872.5</v>
      </c>
      <c r="AS145" s="53">
        <f t="shared" si="91"/>
        <v>398872.5</v>
      </c>
      <c r="AT145" s="53">
        <f t="shared" si="91"/>
        <v>398872.5</v>
      </c>
      <c r="AU145" s="53">
        <f t="shared" si="91"/>
        <v>398872.5</v>
      </c>
      <c r="AV145" s="53">
        <f t="shared" si="91"/>
        <v>398872.5</v>
      </c>
      <c r="AW145" s="53">
        <f t="shared" si="91"/>
        <v>398872.5</v>
      </c>
      <c r="AX145" s="53">
        <f t="shared" si="91"/>
        <v>398872.5</v>
      </c>
      <c r="AY145" s="53">
        <f t="shared" si="91"/>
        <v>398872.5</v>
      </c>
      <c r="AZ145" s="53">
        <f t="shared" si="91"/>
        <v>398872.5</v>
      </c>
      <c r="BA145" s="53">
        <f t="shared" si="91"/>
        <v>398872.5</v>
      </c>
      <c r="BB145" s="53">
        <f t="shared" si="91"/>
        <v>398872.5</v>
      </c>
      <c r="BC145" s="53">
        <f t="shared" si="91"/>
        <v>398872.5</v>
      </c>
      <c r="BD145" s="53">
        <f t="shared" si="91"/>
        <v>398872.5</v>
      </c>
      <c r="BE145" s="53">
        <f t="shared" si="91"/>
        <v>398872.5</v>
      </c>
      <c r="BF145" s="53">
        <f t="shared" si="91"/>
        <v>398872.5</v>
      </c>
      <c r="BG145" s="53">
        <f t="shared" si="91"/>
        <v>398872.5</v>
      </c>
      <c r="BH145" s="53">
        <f t="shared" si="91"/>
        <v>398872.5</v>
      </c>
      <c r="BI145" s="53">
        <f t="shared" si="91"/>
        <v>398872.5</v>
      </c>
      <c r="BJ145" s="53">
        <f t="shared" si="91"/>
        <v>398872.5</v>
      </c>
      <c r="BK145" s="53">
        <f t="shared" si="91"/>
        <v>398872.5</v>
      </c>
      <c r="BL145" s="53">
        <f t="shared" si="91"/>
        <v>398872.5</v>
      </c>
      <c r="BM145" s="53">
        <f t="shared" si="91"/>
        <v>398872.5</v>
      </c>
      <c r="BN145" s="53">
        <f t="shared" si="91"/>
        <v>398872.5</v>
      </c>
      <c r="BO145" s="53">
        <f t="shared" si="91"/>
        <v>398872.5</v>
      </c>
      <c r="BP145" s="53">
        <f t="shared" ref="BP145:CP145" si="92">Forecast_year_without_scheme_PM10_concentrations*Extrapolation_mask</f>
        <v>398872.5</v>
      </c>
      <c r="BQ145" s="53">
        <f t="shared" si="92"/>
        <v>398872.5</v>
      </c>
      <c r="BR145" s="53">
        <f t="shared" si="92"/>
        <v>398872.5</v>
      </c>
      <c r="BS145" s="53">
        <f t="shared" si="92"/>
        <v>398872.5</v>
      </c>
      <c r="BT145" s="53">
        <f t="shared" si="92"/>
        <v>398872.5</v>
      </c>
      <c r="BU145" s="53">
        <f t="shared" si="92"/>
        <v>398872.5</v>
      </c>
      <c r="BV145" s="53">
        <f t="shared" si="92"/>
        <v>398872.5</v>
      </c>
      <c r="BW145" s="53">
        <f t="shared" si="92"/>
        <v>398872.5</v>
      </c>
      <c r="BX145" s="53">
        <f t="shared" si="92"/>
        <v>398872.5</v>
      </c>
      <c r="BY145" s="53">
        <f t="shared" si="92"/>
        <v>398872.5</v>
      </c>
      <c r="BZ145" s="53">
        <f t="shared" si="92"/>
        <v>398872.5</v>
      </c>
      <c r="CA145" s="53">
        <f t="shared" si="92"/>
        <v>398872.5</v>
      </c>
      <c r="CB145" s="53">
        <f t="shared" si="92"/>
        <v>0</v>
      </c>
      <c r="CC145" s="53">
        <f t="shared" si="92"/>
        <v>0</v>
      </c>
      <c r="CD145" s="53">
        <f t="shared" si="92"/>
        <v>0</v>
      </c>
      <c r="CE145" s="53">
        <f t="shared" si="92"/>
        <v>0</v>
      </c>
      <c r="CF145" s="53">
        <f t="shared" si="92"/>
        <v>0</v>
      </c>
      <c r="CG145" s="53">
        <f t="shared" si="92"/>
        <v>0</v>
      </c>
      <c r="CH145" s="53">
        <f t="shared" si="92"/>
        <v>0</v>
      </c>
      <c r="CI145" s="53">
        <f t="shared" si="92"/>
        <v>0</v>
      </c>
      <c r="CJ145" s="53">
        <f t="shared" si="92"/>
        <v>0</v>
      </c>
      <c r="CK145" s="53">
        <f t="shared" si="92"/>
        <v>0</v>
      </c>
      <c r="CL145" s="53">
        <f t="shared" si="92"/>
        <v>0</v>
      </c>
      <c r="CM145" s="53">
        <f t="shared" si="92"/>
        <v>0</v>
      </c>
      <c r="CN145" s="53">
        <f t="shared" si="92"/>
        <v>0</v>
      </c>
      <c r="CO145" s="53">
        <f t="shared" si="92"/>
        <v>0</v>
      </c>
      <c r="CP145" s="53">
        <f t="shared" si="92"/>
        <v>0</v>
      </c>
      <c r="CQ145" s="52" t="s">
        <v>235</v>
      </c>
    </row>
    <row r="146" spans="1:95" hidden="1" outlineLevel="1" x14ac:dyDescent="0.25">
      <c r="B146" t="s">
        <v>200</v>
      </c>
      <c r="D146" s="53">
        <f t="shared" ref="D146:BO146" si="93">Opening_year_without_scheme_PM10_concentrations_mask+Forecast_year_without_scheme_PM10_concentrations_mask+Interpolation_without_scheme_PM10_concentrations_mask+Extrapolation_without_scheme_PM10_concentrations_mask</f>
        <v>0</v>
      </c>
      <c r="E146" s="53">
        <f t="shared" si="93"/>
        <v>0</v>
      </c>
      <c r="F146" s="53">
        <f t="shared" si="93"/>
        <v>0</v>
      </c>
      <c r="G146" s="53">
        <f t="shared" si="93"/>
        <v>0</v>
      </c>
      <c r="H146" s="53">
        <f t="shared" si="93"/>
        <v>0</v>
      </c>
      <c r="I146" s="53">
        <f t="shared" si="93"/>
        <v>0</v>
      </c>
      <c r="J146" s="53">
        <f t="shared" si="93"/>
        <v>0</v>
      </c>
      <c r="K146" s="53">
        <f t="shared" si="93"/>
        <v>0</v>
      </c>
      <c r="L146" s="53">
        <f t="shared" si="93"/>
        <v>0</v>
      </c>
      <c r="M146" s="53">
        <f t="shared" si="93"/>
        <v>0</v>
      </c>
      <c r="N146" s="53">
        <f t="shared" si="93"/>
        <v>0</v>
      </c>
      <c r="O146" s="53">
        <f t="shared" si="93"/>
        <v>0</v>
      </c>
      <c r="P146" s="53">
        <f t="shared" si="93"/>
        <v>0</v>
      </c>
      <c r="Q146" s="53">
        <f t="shared" si="93"/>
        <v>0</v>
      </c>
      <c r="R146" s="53">
        <f t="shared" si="93"/>
        <v>0</v>
      </c>
      <c r="S146" s="53">
        <f t="shared" si="93"/>
        <v>0</v>
      </c>
      <c r="T146" s="53">
        <f t="shared" si="93"/>
        <v>400879.9</v>
      </c>
      <c r="U146" s="53">
        <f t="shared" si="93"/>
        <v>400679.16000000003</v>
      </c>
      <c r="V146" s="53">
        <f t="shared" si="93"/>
        <v>400478.42000000004</v>
      </c>
      <c r="W146" s="53">
        <f t="shared" si="93"/>
        <v>400277.68</v>
      </c>
      <c r="X146" s="53">
        <f t="shared" si="93"/>
        <v>400076.94</v>
      </c>
      <c r="Y146" s="53">
        <f t="shared" si="93"/>
        <v>399876.2</v>
      </c>
      <c r="Z146" s="53">
        <f t="shared" si="93"/>
        <v>399675.46</v>
      </c>
      <c r="AA146" s="53">
        <f t="shared" si="93"/>
        <v>399474.72000000003</v>
      </c>
      <c r="AB146" s="53">
        <f t="shared" si="93"/>
        <v>399273.98</v>
      </c>
      <c r="AC146" s="53">
        <f t="shared" si="93"/>
        <v>399073.24</v>
      </c>
      <c r="AD146" s="53">
        <f t="shared" si="93"/>
        <v>398872.5</v>
      </c>
      <c r="AE146" s="53">
        <f t="shared" si="93"/>
        <v>398872.5</v>
      </c>
      <c r="AF146" s="53">
        <f t="shared" si="93"/>
        <v>398872.5</v>
      </c>
      <c r="AG146" s="53">
        <f t="shared" si="93"/>
        <v>398872.5</v>
      </c>
      <c r="AH146" s="53">
        <f t="shared" si="93"/>
        <v>398872.5</v>
      </c>
      <c r="AI146" s="53">
        <f t="shared" si="93"/>
        <v>398872.5</v>
      </c>
      <c r="AJ146" s="53">
        <f t="shared" si="93"/>
        <v>398872.5</v>
      </c>
      <c r="AK146" s="53">
        <f t="shared" si="93"/>
        <v>398872.5</v>
      </c>
      <c r="AL146" s="53">
        <f t="shared" si="93"/>
        <v>398872.5</v>
      </c>
      <c r="AM146" s="53">
        <f t="shared" si="93"/>
        <v>398872.5</v>
      </c>
      <c r="AN146" s="53">
        <f t="shared" si="93"/>
        <v>398872.5</v>
      </c>
      <c r="AO146" s="53">
        <f t="shared" si="93"/>
        <v>398872.5</v>
      </c>
      <c r="AP146" s="53">
        <f t="shared" si="93"/>
        <v>398872.5</v>
      </c>
      <c r="AQ146" s="53">
        <f t="shared" si="93"/>
        <v>398872.5</v>
      </c>
      <c r="AR146" s="53">
        <f t="shared" si="93"/>
        <v>398872.5</v>
      </c>
      <c r="AS146" s="53">
        <f t="shared" si="93"/>
        <v>398872.5</v>
      </c>
      <c r="AT146" s="53">
        <f t="shared" si="93"/>
        <v>398872.5</v>
      </c>
      <c r="AU146" s="53">
        <f t="shared" si="93"/>
        <v>398872.5</v>
      </c>
      <c r="AV146" s="53">
        <f t="shared" si="93"/>
        <v>398872.5</v>
      </c>
      <c r="AW146" s="53">
        <f t="shared" si="93"/>
        <v>398872.5</v>
      </c>
      <c r="AX146" s="53">
        <f t="shared" si="93"/>
        <v>398872.5</v>
      </c>
      <c r="AY146" s="53">
        <f t="shared" si="93"/>
        <v>398872.5</v>
      </c>
      <c r="AZ146" s="53">
        <f t="shared" si="93"/>
        <v>398872.5</v>
      </c>
      <c r="BA146" s="53">
        <f t="shared" si="93"/>
        <v>398872.5</v>
      </c>
      <c r="BB146" s="53">
        <f t="shared" si="93"/>
        <v>398872.5</v>
      </c>
      <c r="BC146" s="53">
        <f t="shared" si="93"/>
        <v>398872.5</v>
      </c>
      <c r="BD146" s="53">
        <f t="shared" si="93"/>
        <v>398872.5</v>
      </c>
      <c r="BE146" s="53">
        <f t="shared" si="93"/>
        <v>398872.5</v>
      </c>
      <c r="BF146" s="53">
        <f t="shared" si="93"/>
        <v>398872.5</v>
      </c>
      <c r="BG146" s="53">
        <f t="shared" si="93"/>
        <v>398872.5</v>
      </c>
      <c r="BH146" s="53">
        <f t="shared" si="93"/>
        <v>398872.5</v>
      </c>
      <c r="BI146" s="53">
        <f t="shared" si="93"/>
        <v>398872.5</v>
      </c>
      <c r="BJ146" s="53">
        <f t="shared" si="93"/>
        <v>398872.5</v>
      </c>
      <c r="BK146" s="53">
        <f t="shared" si="93"/>
        <v>398872.5</v>
      </c>
      <c r="BL146" s="53">
        <f t="shared" si="93"/>
        <v>398872.5</v>
      </c>
      <c r="BM146" s="53">
        <f t="shared" si="93"/>
        <v>398872.5</v>
      </c>
      <c r="BN146" s="53">
        <f t="shared" si="93"/>
        <v>398872.5</v>
      </c>
      <c r="BO146" s="53">
        <f t="shared" si="93"/>
        <v>398872.5</v>
      </c>
      <c r="BP146" s="53">
        <f t="shared" ref="BP146:CP146" si="94">Opening_year_without_scheme_PM10_concentrations_mask+Forecast_year_without_scheme_PM10_concentrations_mask+Interpolation_without_scheme_PM10_concentrations_mask+Extrapolation_without_scheme_PM10_concentrations_mask</f>
        <v>398872.5</v>
      </c>
      <c r="BQ146" s="53">
        <f t="shared" si="94"/>
        <v>398872.5</v>
      </c>
      <c r="BR146" s="53">
        <f t="shared" si="94"/>
        <v>398872.5</v>
      </c>
      <c r="BS146" s="53">
        <f t="shared" si="94"/>
        <v>398872.5</v>
      </c>
      <c r="BT146" s="53">
        <f t="shared" si="94"/>
        <v>398872.5</v>
      </c>
      <c r="BU146" s="53">
        <f t="shared" si="94"/>
        <v>398872.5</v>
      </c>
      <c r="BV146" s="53">
        <f t="shared" si="94"/>
        <v>398872.5</v>
      </c>
      <c r="BW146" s="53">
        <f t="shared" si="94"/>
        <v>398872.5</v>
      </c>
      <c r="BX146" s="53">
        <f t="shared" si="94"/>
        <v>398872.5</v>
      </c>
      <c r="BY146" s="53">
        <f t="shared" si="94"/>
        <v>398872.5</v>
      </c>
      <c r="BZ146" s="53">
        <f t="shared" si="94"/>
        <v>398872.5</v>
      </c>
      <c r="CA146" s="53">
        <f t="shared" si="94"/>
        <v>398872.5</v>
      </c>
      <c r="CB146" s="53">
        <f t="shared" si="94"/>
        <v>0</v>
      </c>
      <c r="CC146" s="53">
        <f t="shared" si="94"/>
        <v>0</v>
      </c>
      <c r="CD146" s="53">
        <f t="shared" si="94"/>
        <v>0</v>
      </c>
      <c r="CE146" s="53">
        <f t="shared" si="94"/>
        <v>0</v>
      </c>
      <c r="CF146" s="53">
        <f t="shared" si="94"/>
        <v>0</v>
      </c>
      <c r="CG146" s="53">
        <f t="shared" si="94"/>
        <v>0</v>
      </c>
      <c r="CH146" s="53">
        <f t="shared" si="94"/>
        <v>0</v>
      </c>
      <c r="CI146" s="53">
        <f t="shared" si="94"/>
        <v>0</v>
      </c>
      <c r="CJ146" s="53">
        <f t="shared" si="94"/>
        <v>0</v>
      </c>
      <c r="CK146" s="53">
        <f t="shared" si="94"/>
        <v>0</v>
      </c>
      <c r="CL146" s="53">
        <f t="shared" si="94"/>
        <v>0</v>
      </c>
      <c r="CM146" s="53">
        <f t="shared" si="94"/>
        <v>0</v>
      </c>
      <c r="CN146" s="53">
        <f t="shared" si="94"/>
        <v>0</v>
      </c>
      <c r="CO146" s="53">
        <f t="shared" si="94"/>
        <v>0</v>
      </c>
      <c r="CP146" s="53">
        <f t="shared" si="94"/>
        <v>0</v>
      </c>
      <c r="CQ146" s="52" t="s">
        <v>137</v>
      </c>
    </row>
    <row r="147" spans="1:95" hidden="1" outlineLevel="1" x14ac:dyDescent="0.25"/>
    <row r="148" spans="1:95" ht="15.75" hidden="1" outlineLevel="1" x14ac:dyDescent="0.25">
      <c r="A148" s="56"/>
      <c r="B148" s="56" t="s">
        <v>78</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row>
    <row r="149" spans="1:95" hidden="1" outlineLevel="1" x14ac:dyDescent="0.25"/>
    <row r="150" spans="1:95" ht="15.75" hidden="1" outlineLevel="1" x14ac:dyDescent="0.25">
      <c r="B150" s="77"/>
      <c r="C150" s="76">
        <f>Opening_year</f>
        <v>2026</v>
      </c>
    </row>
    <row r="151" spans="1:95" hidden="1" outlineLevel="1" x14ac:dyDescent="0.25">
      <c r="B151" s="141" t="s">
        <v>308</v>
      </c>
      <c r="C151" s="82">
        <f>Opening_year_with_scheme_PM10_concentrations_in</f>
        <v>400952.29999999993</v>
      </c>
      <c r="D151" s="52" t="s">
        <v>133</v>
      </c>
    </row>
    <row r="152" spans="1:95" ht="15.75" hidden="1" outlineLevel="1" x14ac:dyDescent="0.25">
      <c r="B152" s="77"/>
      <c r="C152" s="77"/>
      <c r="D152" s="77"/>
    </row>
    <row r="153" spans="1:95" ht="15.75" hidden="1" outlineLevel="1" x14ac:dyDescent="0.25">
      <c r="B153" s="77"/>
      <c r="C153" s="76">
        <f>Forecast_year</f>
        <v>2036</v>
      </c>
    </row>
    <row r="154" spans="1:95" hidden="1" outlineLevel="1" x14ac:dyDescent="0.25">
      <c r="B154" s="141" t="s">
        <v>309</v>
      </c>
      <c r="C154" s="82">
        <f>Forecast_year_with_scheme_PM10_concentrations_in</f>
        <v>399013.99999999994</v>
      </c>
      <c r="D154" s="52" t="s">
        <v>134</v>
      </c>
    </row>
    <row r="155" spans="1:95" ht="15.75" hidden="1" outlineLevel="1" x14ac:dyDescent="0.25">
      <c r="B155" s="77"/>
      <c r="C155" s="77"/>
      <c r="D155" s="77"/>
    </row>
    <row r="156" spans="1:95" hidden="1" outlineLevel="1" x14ac:dyDescent="0.25">
      <c r="B156" s="141" t="s">
        <v>92</v>
      </c>
      <c r="C156" s="141">
        <f>Forecast_year_with_scheme_PM10_concentrations-Opening_year_with_scheme_PM10_concentrations</f>
        <v>-1938.2999999999884</v>
      </c>
      <c r="D156" s="143" t="s">
        <v>311</v>
      </c>
    </row>
    <row r="157" spans="1:95" hidden="1" outlineLevel="1" x14ac:dyDescent="0.25"/>
    <row r="158" spans="1:95" hidden="1" outlineLevel="1" x14ac:dyDescent="0.25">
      <c r="B158" t="s">
        <v>13</v>
      </c>
      <c r="D158" s="53">
        <f t="shared" ref="D158:BO158" si="95">Opening_year_with_scheme_PM10_concentrations*Opening_year_mask</f>
        <v>0</v>
      </c>
      <c r="E158" s="53">
        <f t="shared" si="95"/>
        <v>0</v>
      </c>
      <c r="F158" s="53">
        <f t="shared" si="95"/>
        <v>0</v>
      </c>
      <c r="G158" s="53">
        <f t="shared" si="95"/>
        <v>0</v>
      </c>
      <c r="H158" s="53">
        <f t="shared" si="95"/>
        <v>0</v>
      </c>
      <c r="I158" s="53">
        <f t="shared" si="95"/>
        <v>0</v>
      </c>
      <c r="J158" s="53">
        <f t="shared" si="95"/>
        <v>0</v>
      </c>
      <c r="K158" s="53">
        <f t="shared" si="95"/>
        <v>0</v>
      </c>
      <c r="L158" s="53">
        <f t="shared" si="95"/>
        <v>0</v>
      </c>
      <c r="M158" s="53">
        <f t="shared" si="95"/>
        <v>0</v>
      </c>
      <c r="N158" s="53">
        <f t="shared" si="95"/>
        <v>0</v>
      </c>
      <c r="O158" s="53">
        <f t="shared" si="95"/>
        <v>0</v>
      </c>
      <c r="P158" s="53">
        <f t="shared" si="95"/>
        <v>0</v>
      </c>
      <c r="Q158" s="53">
        <f t="shared" si="95"/>
        <v>0</v>
      </c>
      <c r="R158" s="53">
        <f t="shared" si="95"/>
        <v>0</v>
      </c>
      <c r="S158" s="53">
        <f t="shared" si="95"/>
        <v>0</v>
      </c>
      <c r="T158" s="53">
        <f t="shared" si="95"/>
        <v>400952.29999999993</v>
      </c>
      <c r="U158" s="53">
        <f t="shared" si="95"/>
        <v>0</v>
      </c>
      <c r="V158" s="53">
        <f t="shared" si="95"/>
        <v>0</v>
      </c>
      <c r="W158" s="53">
        <f t="shared" si="95"/>
        <v>0</v>
      </c>
      <c r="X158" s="53">
        <f t="shared" si="95"/>
        <v>0</v>
      </c>
      <c r="Y158" s="53">
        <f t="shared" si="95"/>
        <v>0</v>
      </c>
      <c r="Z158" s="53">
        <f t="shared" si="95"/>
        <v>0</v>
      </c>
      <c r="AA158" s="53">
        <f t="shared" si="95"/>
        <v>0</v>
      </c>
      <c r="AB158" s="53">
        <f t="shared" si="95"/>
        <v>0</v>
      </c>
      <c r="AC158" s="53">
        <f t="shared" si="95"/>
        <v>0</v>
      </c>
      <c r="AD158" s="53">
        <f t="shared" si="95"/>
        <v>0</v>
      </c>
      <c r="AE158" s="53">
        <f t="shared" si="95"/>
        <v>0</v>
      </c>
      <c r="AF158" s="53">
        <f t="shared" si="95"/>
        <v>0</v>
      </c>
      <c r="AG158" s="53">
        <f t="shared" si="95"/>
        <v>0</v>
      </c>
      <c r="AH158" s="53">
        <f t="shared" si="95"/>
        <v>0</v>
      </c>
      <c r="AI158" s="53">
        <f t="shared" si="95"/>
        <v>0</v>
      </c>
      <c r="AJ158" s="53">
        <f t="shared" si="95"/>
        <v>0</v>
      </c>
      <c r="AK158" s="53">
        <f t="shared" si="95"/>
        <v>0</v>
      </c>
      <c r="AL158" s="53">
        <f t="shared" si="95"/>
        <v>0</v>
      </c>
      <c r="AM158" s="53">
        <f t="shared" si="95"/>
        <v>0</v>
      </c>
      <c r="AN158" s="53">
        <f t="shared" si="95"/>
        <v>0</v>
      </c>
      <c r="AO158" s="53">
        <f t="shared" si="95"/>
        <v>0</v>
      </c>
      <c r="AP158" s="53">
        <f t="shared" si="95"/>
        <v>0</v>
      </c>
      <c r="AQ158" s="53">
        <f t="shared" si="95"/>
        <v>0</v>
      </c>
      <c r="AR158" s="53">
        <f t="shared" si="95"/>
        <v>0</v>
      </c>
      <c r="AS158" s="53">
        <f t="shared" si="95"/>
        <v>0</v>
      </c>
      <c r="AT158" s="53">
        <f t="shared" si="95"/>
        <v>0</v>
      </c>
      <c r="AU158" s="53">
        <f t="shared" si="95"/>
        <v>0</v>
      </c>
      <c r="AV158" s="53">
        <f t="shared" si="95"/>
        <v>0</v>
      </c>
      <c r="AW158" s="53">
        <f t="shared" si="95"/>
        <v>0</v>
      </c>
      <c r="AX158" s="53">
        <f t="shared" si="95"/>
        <v>0</v>
      </c>
      <c r="AY158" s="53">
        <f t="shared" si="95"/>
        <v>0</v>
      </c>
      <c r="AZ158" s="53">
        <f t="shared" si="95"/>
        <v>0</v>
      </c>
      <c r="BA158" s="53">
        <f t="shared" si="95"/>
        <v>0</v>
      </c>
      <c r="BB158" s="53">
        <f t="shared" si="95"/>
        <v>0</v>
      </c>
      <c r="BC158" s="53">
        <f t="shared" si="95"/>
        <v>0</v>
      </c>
      <c r="BD158" s="53">
        <f t="shared" si="95"/>
        <v>0</v>
      </c>
      <c r="BE158" s="53">
        <f t="shared" si="95"/>
        <v>0</v>
      </c>
      <c r="BF158" s="53">
        <f t="shared" si="95"/>
        <v>0</v>
      </c>
      <c r="BG158" s="53">
        <f t="shared" si="95"/>
        <v>0</v>
      </c>
      <c r="BH158" s="53">
        <f t="shared" si="95"/>
        <v>0</v>
      </c>
      <c r="BI158" s="53">
        <f t="shared" si="95"/>
        <v>0</v>
      </c>
      <c r="BJ158" s="53">
        <f t="shared" si="95"/>
        <v>0</v>
      </c>
      <c r="BK158" s="53">
        <f t="shared" si="95"/>
        <v>0</v>
      </c>
      <c r="BL158" s="53">
        <f t="shared" si="95"/>
        <v>0</v>
      </c>
      <c r="BM158" s="53">
        <f t="shared" si="95"/>
        <v>0</v>
      </c>
      <c r="BN158" s="53">
        <f t="shared" si="95"/>
        <v>0</v>
      </c>
      <c r="BO158" s="53">
        <f t="shared" si="95"/>
        <v>0</v>
      </c>
      <c r="BP158" s="53">
        <f t="shared" ref="BP158:CP158" si="96">Opening_year_with_scheme_PM10_concentrations*Opening_year_mask</f>
        <v>0</v>
      </c>
      <c r="BQ158" s="53">
        <f t="shared" si="96"/>
        <v>0</v>
      </c>
      <c r="BR158" s="53">
        <f t="shared" si="96"/>
        <v>0</v>
      </c>
      <c r="BS158" s="53">
        <f t="shared" si="96"/>
        <v>0</v>
      </c>
      <c r="BT158" s="53">
        <f t="shared" si="96"/>
        <v>0</v>
      </c>
      <c r="BU158" s="53">
        <f t="shared" si="96"/>
        <v>0</v>
      </c>
      <c r="BV158" s="53">
        <f t="shared" si="96"/>
        <v>0</v>
      </c>
      <c r="BW158" s="53">
        <f t="shared" si="96"/>
        <v>0</v>
      </c>
      <c r="BX158" s="53">
        <f t="shared" si="96"/>
        <v>0</v>
      </c>
      <c r="BY158" s="53">
        <f t="shared" si="96"/>
        <v>0</v>
      </c>
      <c r="BZ158" s="53">
        <f t="shared" si="96"/>
        <v>0</v>
      </c>
      <c r="CA158" s="53">
        <f t="shared" si="96"/>
        <v>0</v>
      </c>
      <c r="CB158" s="53">
        <f t="shared" si="96"/>
        <v>0</v>
      </c>
      <c r="CC158" s="53">
        <f t="shared" si="96"/>
        <v>0</v>
      </c>
      <c r="CD158" s="53">
        <f t="shared" si="96"/>
        <v>0</v>
      </c>
      <c r="CE158" s="53">
        <f t="shared" si="96"/>
        <v>0</v>
      </c>
      <c r="CF158" s="53">
        <f t="shared" si="96"/>
        <v>0</v>
      </c>
      <c r="CG158" s="53">
        <f t="shared" si="96"/>
        <v>0</v>
      </c>
      <c r="CH158" s="53">
        <f t="shared" si="96"/>
        <v>0</v>
      </c>
      <c r="CI158" s="53">
        <f t="shared" si="96"/>
        <v>0</v>
      </c>
      <c r="CJ158" s="53">
        <f t="shared" si="96"/>
        <v>0</v>
      </c>
      <c r="CK158" s="53">
        <f t="shared" si="96"/>
        <v>0</v>
      </c>
      <c r="CL158" s="53">
        <f t="shared" si="96"/>
        <v>0</v>
      </c>
      <c r="CM158" s="53">
        <f t="shared" si="96"/>
        <v>0</v>
      </c>
      <c r="CN158" s="53">
        <f t="shared" si="96"/>
        <v>0</v>
      </c>
      <c r="CO158" s="53">
        <f t="shared" si="96"/>
        <v>0</v>
      </c>
      <c r="CP158" s="53">
        <f t="shared" si="96"/>
        <v>0</v>
      </c>
      <c r="CQ158" s="52" t="s">
        <v>236</v>
      </c>
    </row>
    <row r="159" spans="1:95" hidden="1" outlineLevel="1" x14ac:dyDescent="0.25">
      <c r="B159" t="s">
        <v>75</v>
      </c>
      <c r="D159" s="53">
        <f t="shared" ref="D159:BO159" si="97">Forecast_year_with_scheme_PM10_concentrations*Forecast_year_mask</f>
        <v>0</v>
      </c>
      <c r="E159" s="53">
        <f t="shared" si="97"/>
        <v>0</v>
      </c>
      <c r="F159" s="53">
        <f t="shared" si="97"/>
        <v>0</v>
      </c>
      <c r="G159" s="53">
        <f t="shared" si="97"/>
        <v>0</v>
      </c>
      <c r="H159" s="53">
        <f t="shared" si="97"/>
        <v>0</v>
      </c>
      <c r="I159" s="53">
        <f t="shared" si="97"/>
        <v>0</v>
      </c>
      <c r="J159" s="53">
        <f t="shared" si="97"/>
        <v>0</v>
      </c>
      <c r="K159" s="53">
        <f t="shared" si="97"/>
        <v>0</v>
      </c>
      <c r="L159" s="53">
        <f t="shared" si="97"/>
        <v>0</v>
      </c>
      <c r="M159" s="53">
        <f t="shared" si="97"/>
        <v>0</v>
      </c>
      <c r="N159" s="53">
        <f t="shared" si="97"/>
        <v>0</v>
      </c>
      <c r="O159" s="53">
        <f t="shared" si="97"/>
        <v>0</v>
      </c>
      <c r="P159" s="53">
        <f t="shared" si="97"/>
        <v>0</v>
      </c>
      <c r="Q159" s="53">
        <f t="shared" si="97"/>
        <v>0</v>
      </c>
      <c r="R159" s="53">
        <f t="shared" si="97"/>
        <v>0</v>
      </c>
      <c r="S159" s="53">
        <f t="shared" si="97"/>
        <v>0</v>
      </c>
      <c r="T159" s="53">
        <f t="shared" si="97"/>
        <v>0</v>
      </c>
      <c r="U159" s="53">
        <f t="shared" si="97"/>
        <v>0</v>
      </c>
      <c r="V159" s="53">
        <f t="shared" si="97"/>
        <v>0</v>
      </c>
      <c r="W159" s="53">
        <f t="shared" si="97"/>
        <v>0</v>
      </c>
      <c r="X159" s="53">
        <f t="shared" si="97"/>
        <v>0</v>
      </c>
      <c r="Y159" s="53">
        <f t="shared" si="97"/>
        <v>0</v>
      </c>
      <c r="Z159" s="53">
        <f t="shared" si="97"/>
        <v>0</v>
      </c>
      <c r="AA159" s="53">
        <f t="shared" si="97"/>
        <v>0</v>
      </c>
      <c r="AB159" s="53">
        <f t="shared" si="97"/>
        <v>0</v>
      </c>
      <c r="AC159" s="53">
        <f t="shared" si="97"/>
        <v>0</v>
      </c>
      <c r="AD159" s="53">
        <f t="shared" si="97"/>
        <v>399013.99999999994</v>
      </c>
      <c r="AE159" s="53">
        <f t="shared" si="97"/>
        <v>0</v>
      </c>
      <c r="AF159" s="53">
        <f t="shared" si="97"/>
        <v>0</v>
      </c>
      <c r="AG159" s="53">
        <f t="shared" si="97"/>
        <v>0</v>
      </c>
      <c r="AH159" s="53">
        <f t="shared" si="97"/>
        <v>0</v>
      </c>
      <c r="AI159" s="53">
        <f t="shared" si="97"/>
        <v>0</v>
      </c>
      <c r="AJ159" s="53">
        <f t="shared" si="97"/>
        <v>0</v>
      </c>
      <c r="AK159" s="53">
        <f t="shared" si="97"/>
        <v>0</v>
      </c>
      <c r="AL159" s="53">
        <f t="shared" si="97"/>
        <v>0</v>
      </c>
      <c r="AM159" s="53">
        <f t="shared" si="97"/>
        <v>0</v>
      </c>
      <c r="AN159" s="53">
        <f t="shared" si="97"/>
        <v>0</v>
      </c>
      <c r="AO159" s="53">
        <f t="shared" si="97"/>
        <v>0</v>
      </c>
      <c r="AP159" s="53">
        <f t="shared" si="97"/>
        <v>0</v>
      </c>
      <c r="AQ159" s="53">
        <f t="shared" si="97"/>
        <v>0</v>
      </c>
      <c r="AR159" s="53">
        <f t="shared" si="97"/>
        <v>0</v>
      </c>
      <c r="AS159" s="53">
        <f t="shared" si="97"/>
        <v>0</v>
      </c>
      <c r="AT159" s="53">
        <f t="shared" si="97"/>
        <v>0</v>
      </c>
      <c r="AU159" s="53">
        <f t="shared" si="97"/>
        <v>0</v>
      </c>
      <c r="AV159" s="53">
        <f t="shared" si="97"/>
        <v>0</v>
      </c>
      <c r="AW159" s="53">
        <f t="shared" si="97"/>
        <v>0</v>
      </c>
      <c r="AX159" s="53">
        <f t="shared" si="97"/>
        <v>0</v>
      </c>
      <c r="AY159" s="53">
        <f t="shared" si="97"/>
        <v>0</v>
      </c>
      <c r="AZ159" s="53">
        <f t="shared" si="97"/>
        <v>0</v>
      </c>
      <c r="BA159" s="53">
        <f t="shared" si="97"/>
        <v>0</v>
      </c>
      <c r="BB159" s="53">
        <f t="shared" si="97"/>
        <v>0</v>
      </c>
      <c r="BC159" s="53">
        <f t="shared" si="97"/>
        <v>0</v>
      </c>
      <c r="BD159" s="53">
        <f t="shared" si="97"/>
        <v>0</v>
      </c>
      <c r="BE159" s="53">
        <f t="shared" si="97"/>
        <v>0</v>
      </c>
      <c r="BF159" s="53">
        <f t="shared" si="97"/>
        <v>0</v>
      </c>
      <c r="BG159" s="53">
        <f t="shared" si="97"/>
        <v>0</v>
      </c>
      <c r="BH159" s="53">
        <f t="shared" si="97"/>
        <v>0</v>
      </c>
      <c r="BI159" s="53">
        <f t="shared" si="97"/>
        <v>0</v>
      </c>
      <c r="BJ159" s="53">
        <f t="shared" si="97"/>
        <v>0</v>
      </c>
      <c r="BK159" s="53">
        <f t="shared" si="97"/>
        <v>0</v>
      </c>
      <c r="BL159" s="53">
        <f t="shared" si="97"/>
        <v>0</v>
      </c>
      <c r="BM159" s="53">
        <f t="shared" si="97"/>
        <v>0</v>
      </c>
      <c r="BN159" s="53">
        <f t="shared" si="97"/>
        <v>0</v>
      </c>
      <c r="BO159" s="53">
        <f t="shared" si="97"/>
        <v>0</v>
      </c>
      <c r="BP159" s="53">
        <f t="shared" ref="BP159:CP159" si="98">Forecast_year_with_scheme_PM10_concentrations*Forecast_year_mask</f>
        <v>0</v>
      </c>
      <c r="BQ159" s="53">
        <f t="shared" si="98"/>
        <v>0</v>
      </c>
      <c r="BR159" s="53">
        <f t="shared" si="98"/>
        <v>0</v>
      </c>
      <c r="BS159" s="53">
        <f t="shared" si="98"/>
        <v>0</v>
      </c>
      <c r="BT159" s="53">
        <f t="shared" si="98"/>
        <v>0</v>
      </c>
      <c r="BU159" s="53">
        <f t="shared" si="98"/>
        <v>0</v>
      </c>
      <c r="BV159" s="53">
        <f t="shared" si="98"/>
        <v>0</v>
      </c>
      <c r="BW159" s="53">
        <f t="shared" si="98"/>
        <v>0</v>
      </c>
      <c r="BX159" s="53">
        <f t="shared" si="98"/>
        <v>0</v>
      </c>
      <c r="BY159" s="53">
        <f t="shared" si="98"/>
        <v>0</v>
      </c>
      <c r="BZ159" s="53">
        <f t="shared" si="98"/>
        <v>0</v>
      </c>
      <c r="CA159" s="53">
        <f t="shared" si="98"/>
        <v>0</v>
      </c>
      <c r="CB159" s="53">
        <f t="shared" si="98"/>
        <v>0</v>
      </c>
      <c r="CC159" s="53">
        <f t="shared" si="98"/>
        <v>0</v>
      </c>
      <c r="CD159" s="53">
        <f t="shared" si="98"/>
        <v>0</v>
      </c>
      <c r="CE159" s="53">
        <f t="shared" si="98"/>
        <v>0</v>
      </c>
      <c r="CF159" s="53">
        <f t="shared" si="98"/>
        <v>0</v>
      </c>
      <c r="CG159" s="53">
        <f t="shared" si="98"/>
        <v>0</v>
      </c>
      <c r="CH159" s="53">
        <f t="shared" si="98"/>
        <v>0</v>
      </c>
      <c r="CI159" s="53">
        <f t="shared" si="98"/>
        <v>0</v>
      </c>
      <c r="CJ159" s="53">
        <f t="shared" si="98"/>
        <v>0</v>
      </c>
      <c r="CK159" s="53">
        <f t="shared" si="98"/>
        <v>0</v>
      </c>
      <c r="CL159" s="53">
        <f t="shared" si="98"/>
        <v>0</v>
      </c>
      <c r="CM159" s="53">
        <f t="shared" si="98"/>
        <v>0</v>
      </c>
      <c r="CN159" s="53">
        <f t="shared" si="98"/>
        <v>0</v>
      </c>
      <c r="CO159" s="53">
        <f t="shared" si="98"/>
        <v>0</v>
      </c>
      <c r="CP159" s="53">
        <f t="shared" si="98"/>
        <v>0</v>
      </c>
      <c r="CQ159" s="52" t="s">
        <v>237</v>
      </c>
    </row>
    <row r="160" spans="1:95" hidden="1" outlineLevel="1" x14ac:dyDescent="0.25">
      <c r="B160" t="s">
        <v>84</v>
      </c>
      <c r="D160" s="53">
        <f t="shared" ref="D160:AI160" si="99">(Opening_year_with_scheme_PM10_concentrations+(Difference_with_scheme_PM10_concentrations)*(year-Opening_year)/Interpolation_period_length)*Interpolation_mask</f>
        <v>0</v>
      </c>
      <c r="E160" s="53">
        <f t="shared" si="99"/>
        <v>0</v>
      </c>
      <c r="F160" s="53">
        <f t="shared" si="99"/>
        <v>0</v>
      </c>
      <c r="G160" s="53">
        <f t="shared" si="99"/>
        <v>0</v>
      </c>
      <c r="H160" s="53">
        <f t="shared" si="99"/>
        <v>0</v>
      </c>
      <c r="I160" s="53">
        <f t="shared" si="99"/>
        <v>0</v>
      </c>
      <c r="J160" s="53">
        <f t="shared" si="99"/>
        <v>0</v>
      </c>
      <c r="K160" s="53">
        <f t="shared" si="99"/>
        <v>0</v>
      </c>
      <c r="L160" s="53">
        <f t="shared" si="99"/>
        <v>0</v>
      </c>
      <c r="M160" s="53">
        <f t="shared" si="99"/>
        <v>0</v>
      </c>
      <c r="N160" s="53">
        <f t="shared" si="99"/>
        <v>0</v>
      </c>
      <c r="O160" s="53">
        <f t="shared" si="99"/>
        <v>0</v>
      </c>
      <c r="P160" s="53">
        <f t="shared" si="99"/>
        <v>0</v>
      </c>
      <c r="Q160" s="53">
        <f t="shared" si="99"/>
        <v>0</v>
      </c>
      <c r="R160" s="53">
        <f t="shared" si="99"/>
        <v>0</v>
      </c>
      <c r="S160" s="53">
        <f t="shared" si="99"/>
        <v>0</v>
      </c>
      <c r="T160" s="53">
        <f t="shared" si="99"/>
        <v>0</v>
      </c>
      <c r="U160" s="53">
        <f t="shared" si="99"/>
        <v>400758.46999999991</v>
      </c>
      <c r="V160" s="53">
        <f t="shared" si="99"/>
        <v>400564.63999999996</v>
      </c>
      <c r="W160" s="53">
        <f t="shared" si="99"/>
        <v>400370.80999999994</v>
      </c>
      <c r="X160" s="53">
        <f t="shared" si="99"/>
        <v>400176.97999999992</v>
      </c>
      <c r="Y160" s="53">
        <f t="shared" si="99"/>
        <v>399983.14999999991</v>
      </c>
      <c r="Z160" s="53">
        <f t="shared" si="99"/>
        <v>399789.31999999995</v>
      </c>
      <c r="AA160" s="53">
        <f t="shared" si="99"/>
        <v>399595.48999999993</v>
      </c>
      <c r="AB160" s="53">
        <f t="shared" si="99"/>
        <v>399401.65999999992</v>
      </c>
      <c r="AC160" s="53">
        <f t="shared" si="99"/>
        <v>399207.82999999996</v>
      </c>
      <c r="AD160" s="53">
        <f t="shared" si="99"/>
        <v>0</v>
      </c>
      <c r="AE160" s="53">
        <f t="shared" si="99"/>
        <v>0</v>
      </c>
      <c r="AF160" s="53">
        <f t="shared" si="99"/>
        <v>0</v>
      </c>
      <c r="AG160" s="53">
        <f t="shared" si="99"/>
        <v>0</v>
      </c>
      <c r="AH160" s="53">
        <f t="shared" si="99"/>
        <v>0</v>
      </c>
      <c r="AI160" s="53">
        <f t="shared" si="99"/>
        <v>0</v>
      </c>
      <c r="AJ160" s="53">
        <f t="shared" ref="AJ160:BO160" si="100">(Opening_year_with_scheme_PM10_concentrations+(Difference_with_scheme_PM10_concentrations)*(year-Opening_year)/Interpolation_period_length)*Interpolation_mask</f>
        <v>0</v>
      </c>
      <c r="AK160" s="53">
        <f t="shared" si="100"/>
        <v>0</v>
      </c>
      <c r="AL160" s="53">
        <f t="shared" si="100"/>
        <v>0</v>
      </c>
      <c r="AM160" s="53">
        <f t="shared" si="100"/>
        <v>0</v>
      </c>
      <c r="AN160" s="53">
        <f t="shared" si="100"/>
        <v>0</v>
      </c>
      <c r="AO160" s="53">
        <f t="shared" si="100"/>
        <v>0</v>
      </c>
      <c r="AP160" s="53">
        <f t="shared" si="100"/>
        <v>0</v>
      </c>
      <c r="AQ160" s="53">
        <f t="shared" si="100"/>
        <v>0</v>
      </c>
      <c r="AR160" s="53">
        <f t="shared" si="100"/>
        <v>0</v>
      </c>
      <c r="AS160" s="53">
        <f t="shared" si="100"/>
        <v>0</v>
      </c>
      <c r="AT160" s="53">
        <f t="shared" si="100"/>
        <v>0</v>
      </c>
      <c r="AU160" s="53">
        <f t="shared" si="100"/>
        <v>0</v>
      </c>
      <c r="AV160" s="53">
        <f t="shared" si="100"/>
        <v>0</v>
      </c>
      <c r="AW160" s="53">
        <f t="shared" si="100"/>
        <v>0</v>
      </c>
      <c r="AX160" s="53">
        <f t="shared" si="100"/>
        <v>0</v>
      </c>
      <c r="AY160" s="53">
        <f t="shared" si="100"/>
        <v>0</v>
      </c>
      <c r="AZ160" s="53">
        <f t="shared" si="100"/>
        <v>0</v>
      </c>
      <c r="BA160" s="53">
        <f t="shared" si="100"/>
        <v>0</v>
      </c>
      <c r="BB160" s="53">
        <f t="shared" si="100"/>
        <v>0</v>
      </c>
      <c r="BC160" s="53">
        <f t="shared" si="100"/>
        <v>0</v>
      </c>
      <c r="BD160" s="53">
        <f t="shared" si="100"/>
        <v>0</v>
      </c>
      <c r="BE160" s="53">
        <f t="shared" si="100"/>
        <v>0</v>
      </c>
      <c r="BF160" s="53">
        <f t="shared" si="100"/>
        <v>0</v>
      </c>
      <c r="BG160" s="53">
        <f t="shared" si="100"/>
        <v>0</v>
      </c>
      <c r="BH160" s="53">
        <f t="shared" si="100"/>
        <v>0</v>
      </c>
      <c r="BI160" s="53">
        <f t="shared" si="100"/>
        <v>0</v>
      </c>
      <c r="BJ160" s="53">
        <f t="shared" si="100"/>
        <v>0</v>
      </c>
      <c r="BK160" s="53">
        <f t="shared" si="100"/>
        <v>0</v>
      </c>
      <c r="BL160" s="53">
        <f t="shared" si="100"/>
        <v>0</v>
      </c>
      <c r="BM160" s="53">
        <f t="shared" si="100"/>
        <v>0</v>
      </c>
      <c r="BN160" s="53">
        <f t="shared" si="100"/>
        <v>0</v>
      </c>
      <c r="BO160" s="53">
        <f t="shared" si="100"/>
        <v>0</v>
      </c>
      <c r="BP160" s="53">
        <f t="shared" ref="BP160:CP160" si="101">(Opening_year_with_scheme_PM10_concentrations+(Difference_with_scheme_PM10_concentrations)*(year-Opening_year)/Interpolation_period_length)*Interpolation_mask</f>
        <v>0</v>
      </c>
      <c r="BQ160" s="53">
        <f t="shared" si="101"/>
        <v>0</v>
      </c>
      <c r="BR160" s="53">
        <f t="shared" si="101"/>
        <v>0</v>
      </c>
      <c r="BS160" s="53">
        <f t="shared" si="101"/>
        <v>0</v>
      </c>
      <c r="BT160" s="53">
        <f t="shared" si="101"/>
        <v>0</v>
      </c>
      <c r="BU160" s="53">
        <f t="shared" si="101"/>
        <v>0</v>
      </c>
      <c r="BV160" s="53">
        <f t="shared" si="101"/>
        <v>0</v>
      </c>
      <c r="BW160" s="53">
        <f t="shared" si="101"/>
        <v>0</v>
      </c>
      <c r="BX160" s="53">
        <f t="shared" si="101"/>
        <v>0</v>
      </c>
      <c r="BY160" s="53">
        <f t="shared" si="101"/>
        <v>0</v>
      </c>
      <c r="BZ160" s="53">
        <f t="shared" si="101"/>
        <v>0</v>
      </c>
      <c r="CA160" s="53">
        <f t="shared" si="101"/>
        <v>0</v>
      </c>
      <c r="CB160" s="53">
        <f t="shared" si="101"/>
        <v>0</v>
      </c>
      <c r="CC160" s="53">
        <f t="shared" si="101"/>
        <v>0</v>
      </c>
      <c r="CD160" s="53">
        <f t="shared" si="101"/>
        <v>0</v>
      </c>
      <c r="CE160" s="53">
        <f t="shared" si="101"/>
        <v>0</v>
      </c>
      <c r="CF160" s="53">
        <f t="shared" si="101"/>
        <v>0</v>
      </c>
      <c r="CG160" s="53">
        <f t="shared" si="101"/>
        <v>0</v>
      </c>
      <c r="CH160" s="53">
        <f t="shared" si="101"/>
        <v>0</v>
      </c>
      <c r="CI160" s="53">
        <f t="shared" si="101"/>
        <v>0</v>
      </c>
      <c r="CJ160" s="53">
        <f t="shared" si="101"/>
        <v>0</v>
      </c>
      <c r="CK160" s="53">
        <f t="shared" si="101"/>
        <v>0</v>
      </c>
      <c r="CL160" s="53">
        <f t="shared" si="101"/>
        <v>0</v>
      </c>
      <c r="CM160" s="53">
        <f t="shared" si="101"/>
        <v>0</v>
      </c>
      <c r="CN160" s="53">
        <f t="shared" si="101"/>
        <v>0</v>
      </c>
      <c r="CO160" s="53">
        <f t="shared" si="101"/>
        <v>0</v>
      </c>
      <c r="CP160" s="53">
        <f t="shared" si="101"/>
        <v>0</v>
      </c>
      <c r="CQ160" s="52" t="s">
        <v>238</v>
      </c>
    </row>
    <row r="161" spans="1:95" hidden="1" outlineLevel="1" x14ac:dyDescent="0.25">
      <c r="B161" t="s">
        <v>115</v>
      </c>
      <c r="D161" s="53">
        <f t="shared" ref="D161:BO161" si="102">Forecast_year_with_scheme_PM10_concentrations*Extrapolation_mask</f>
        <v>0</v>
      </c>
      <c r="E161" s="53">
        <f t="shared" si="102"/>
        <v>0</v>
      </c>
      <c r="F161" s="53">
        <f t="shared" si="102"/>
        <v>0</v>
      </c>
      <c r="G161" s="53">
        <f t="shared" si="102"/>
        <v>0</v>
      </c>
      <c r="H161" s="53">
        <f t="shared" si="102"/>
        <v>0</v>
      </c>
      <c r="I161" s="53">
        <f t="shared" si="102"/>
        <v>0</v>
      </c>
      <c r="J161" s="53">
        <f t="shared" si="102"/>
        <v>0</v>
      </c>
      <c r="K161" s="53">
        <f t="shared" si="102"/>
        <v>0</v>
      </c>
      <c r="L161" s="53">
        <f t="shared" si="102"/>
        <v>0</v>
      </c>
      <c r="M161" s="53">
        <f t="shared" si="102"/>
        <v>0</v>
      </c>
      <c r="N161" s="53">
        <f t="shared" si="102"/>
        <v>0</v>
      </c>
      <c r="O161" s="53">
        <f t="shared" si="102"/>
        <v>0</v>
      </c>
      <c r="P161" s="53">
        <f t="shared" si="102"/>
        <v>0</v>
      </c>
      <c r="Q161" s="53">
        <f t="shared" si="102"/>
        <v>0</v>
      </c>
      <c r="R161" s="53">
        <f t="shared" si="102"/>
        <v>0</v>
      </c>
      <c r="S161" s="53">
        <f t="shared" si="102"/>
        <v>0</v>
      </c>
      <c r="T161" s="53">
        <f t="shared" si="102"/>
        <v>0</v>
      </c>
      <c r="U161" s="53">
        <f t="shared" si="102"/>
        <v>0</v>
      </c>
      <c r="V161" s="53">
        <f t="shared" si="102"/>
        <v>0</v>
      </c>
      <c r="W161" s="53">
        <f t="shared" si="102"/>
        <v>0</v>
      </c>
      <c r="X161" s="53">
        <f t="shared" si="102"/>
        <v>0</v>
      </c>
      <c r="Y161" s="53">
        <f t="shared" si="102"/>
        <v>0</v>
      </c>
      <c r="Z161" s="53">
        <f t="shared" si="102"/>
        <v>0</v>
      </c>
      <c r="AA161" s="53">
        <f t="shared" si="102"/>
        <v>0</v>
      </c>
      <c r="AB161" s="53">
        <f t="shared" si="102"/>
        <v>0</v>
      </c>
      <c r="AC161" s="53">
        <f t="shared" si="102"/>
        <v>0</v>
      </c>
      <c r="AD161" s="53">
        <f t="shared" si="102"/>
        <v>0</v>
      </c>
      <c r="AE161" s="53">
        <f t="shared" si="102"/>
        <v>399013.99999999994</v>
      </c>
      <c r="AF161" s="53">
        <f t="shared" si="102"/>
        <v>399013.99999999994</v>
      </c>
      <c r="AG161" s="53">
        <f t="shared" si="102"/>
        <v>399013.99999999994</v>
      </c>
      <c r="AH161" s="53">
        <f t="shared" si="102"/>
        <v>399013.99999999994</v>
      </c>
      <c r="AI161" s="53">
        <f t="shared" si="102"/>
        <v>399013.99999999994</v>
      </c>
      <c r="AJ161" s="53">
        <f t="shared" si="102"/>
        <v>399013.99999999994</v>
      </c>
      <c r="AK161" s="53">
        <f t="shared" si="102"/>
        <v>399013.99999999994</v>
      </c>
      <c r="AL161" s="53">
        <f t="shared" si="102"/>
        <v>399013.99999999994</v>
      </c>
      <c r="AM161" s="53">
        <f t="shared" si="102"/>
        <v>399013.99999999994</v>
      </c>
      <c r="AN161" s="53">
        <f t="shared" si="102"/>
        <v>399013.99999999994</v>
      </c>
      <c r="AO161" s="53">
        <f t="shared" si="102"/>
        <v>399013.99999999994</v>
      </c>
      <c r="AP161" s="53">
        <f t="shared" si="102"/>
        <v>399013.99999999994</v>
      </c>
      <c r="AQ161" s="53">
        <f t="shared" si="102"/>
        <v>399013.99999999994</v>
      </c>
      <c r="AR161" s="53">
        <f t="shared" si="102"/>
        <v>399013.99999999994</v>
      </c>
      <c r="AS161" s="53">
        <f t="shared" si="102"/>
        <v>399013.99999999994</v>
      </c>
      <c r="AT161" s="53">
        <f t="shared" si="102"/>
        <v>399013.99999999994</v>
      </c>
      <c r="AU161" s="53">
        <f t="shared" si="102"/>
        <v>399013.99999999994</v>
      </c>
      <c r="AV161" s="53">
        <f t="shared" si="102"/>
        <v>399013.99999999994</v>
      </c>
      <c r="AW161" s="53">
        <f t="shared" si="102"/>
        <v>399013.99999999994</v>
      </c>
      <c r="AX161" s="53">
        <f t="shared" si="102"/>
        <v>399013.99999999994</v>
      </c>
      <c r="AY161" s="53">
        <f t="shared" si="102"/>
        <v>399013.99999999994</v>
      </c>
      <c r="AZ161" s="53">
        <f t="shared" si="102"/>
        <v>399013.99999999994</v>
      </c>
      <c r="BA161" s="53">
        <f t="shared" si="102"/>
        <v>399013.99999999994</v>
      </c>
      <c r="BB161" s="53">
        <f t="shared" si="102"/>
        <v>399013.99999999994</v>
      </c>
      <c r="BC161" s="53">
        <f t="shared" si="102"/>
        <v>399013.99999999994</v>
      </c>
      <c r="BD161" s="53">
        <f t="shared" si="102"/>
        <v>399013.99999999994</v>
      </c>
      <c r="BE161" s="53">
        <f t="shared" si="102"/>
        <v>399013.99999999994</v>
      </c>
      <c r="BF161" s="53">
        <f t="shared" si="102"/>
        <v>399013.99999999994</v>
      </c>
      <c r="BG161" s="53">
        <f t="shared" si="102"/>
        <v>399013.99999999994</v>
      </c>
      <c r="BH161" s="53">
        <f t="shared" si="102"/>
        <v>399013.99999999994</v>
      </c>
      <c r="BI161" s="53">
        <f t="shared" si="102"/>
        <v>399013.99999999994</v>
      </c>
      <c r="BJ161" s="53">
        <f t="shared" si="102"/>
        <v>399013.99999999994</v>
      </c>
      <c r="BK161" s="53">
        <f t="shared" si="102"/>
        <v>399013.99999999994</v>
      </c>
      <c r="BL161" s="53">
        <f t="shared" si="102"/>
        <v>399013.99999999994</v>
      </c>
      <c r="BM161" s="53">
        <f t="shared" si="102"/>
        <v>399013.99999999994</v>
      </c>
      <c r="BN161" s="53">
        <f t="shared" si="102"/>
        <v>399013.99999999994</v>
      </c>
      <c r="BO161" s="53">
        <f t="shared" si="102"/>
        <v>399013.99999999994</v>
      </c>
      <c r="BP161" s="53">
        <f t="shared" ref="BP161:CP161" si="103">Forecast_year_with_scheme_PM10_concentrations*Extrapolation_mask</f>
        <v>399013.99999999994</v>
      </c>
      <c r="BQ161" s="53">
        <f t="shared" si="103"/>
        <v>399013.99999999994</v>
      </c>
      <c r="BR161" s="53">
        <f t="shared" si="103"/>
        <v>399013.99999999994</v>
      </c>
      <c r="BS161" s="53">
        <f t="shared" si="103"/>
        <v>399013.99999999994</v>
      </c>
      <c r="BT161" s="53">
        <f t="shared" si="103"/>
        <v>399013.99999999994</v>
      </c>
      <c r="BU161" s="53">
        <f t="shared" si="103"/>
        <v>399013.99999999994</v>
      </c>
      <c r="BV161" s="53">
        <f t="shared" si="103"/>
        <v>399013.99999999994</v>
      </c>
      <c r="BW161" s="53">
        <f t="shared" si="103"/>
        <v>399013.99999999994</v>
      </c>
      <c r="BX161" s="53">
        <f t="shared" si="103"/>
        <v>399013.99999999994</v>
      </c>
      <c r="BY161" s="53">
        <f t="shared" si="103"/>
        <v>399013.99999999994</v>
      </c>
      <c r="BZ161" s="53">
        <f t="shared" si="103"/>
        <v>399013.99999999994</v>
      </c>
      <c r="CA161" s="53">
        <f t="shared" si="103"/>
        <v>399013.99999999994</v>
      </c>
      <c r="CB161" s="53">
        <f t="shared" si="103"/>
        <v>0</v>
      </c>
      <c r="CC161" s="53">
        <f t="shared" si="103"/>
        <v>0</v>
      </c>
      <c r="CD161" s="53">
        <f t="shared" si="103"/>
        <v>0</v>
      </c>
      <c r="CE161" s="53">
        <f t="shared" si="103"/>
        <v>0</v>
      </c>
      <c r="CF161" s="53">
        <f t="shared" si="103"/>
        <v>0</v>
      </c>
      <c r="CG161" s="53">
        <f t="shared" si="103"/>
        <v>0</v>
      </c>
      <c r="CH161" s="53">
        <f t="shared" si="103"/>
        <v>0</v>
      </c>
      <c r="CI161" s="53">
        <f t="shared" si="103"/>
        <v>0</v>
      </c>
      <c r="CJ161" s="53">
        <f t="shared" si="103"/>
        <v>0</v>
      </c>
      <c r="CK161" s="53">
        <f t="shared" si="103"/>
        <v>0</v>
      </c>
      <c r="CL161" s="53">
        <f t="shared" si="103"/>
        <v>0</v>
      </c>
      <c r="CM161" s="53">
        <f t="shared" si="103"/>
        <v>0</v>
      </c>
      <c r="CN161" s="53">
        <f t="shared" si="103"/>
        <v>0</v>
      </c>
      <c r="CO161" s="53">
        <f t="shared" si="103"/>
        <v>0</v>
      </c>
      <c r="CP161" s="53">
        <f t="shared" si="103"/>
        <v>0</v>
      </c>
      <c r="CQ161" s="52" t="s">
        <v>239</v>
      </c>
    </row>
    <row r="162" spans="1:95" hidden="1" outlineLevel="1" x14ac:dyDescent="0.25">
      <c r="B162" t="s">
        <v>200</v>
      </c>
      <c r="D162" s="53">
        <f t="shared" ref="D162:BO162" si="104">Opening_year_with_scheme_PM10_concentrations_mask+Forecast_year_with_scheme_PM10_concentrations_mask+Interpolation_with_scheme_PM10_concentrations_mask+Extrapolation_with_scheme_PM10_concentrations_mask</f>
        <v>0</v>
      </c>
      <c r="E162" s="53">
        <f t="shared" si="104"/>
        <v>0</v>
      </c>
      <c r="F162" s="53">
        <f t="shared" si="104"/>
        <v>0</v>
      </c>
      <c r="G162" s="53">
        <f t="shared" si="104"/>
        <v>0</v>
      </c>
      <c r="H162" s="53">
        <f t="shared" si="104"/>
        <v>0</v>
      </c>
      <c r="I162" s="53">
        <f t="shared" si="104"/>
        <v>0</v>
      </c>
      <c r="J162" s="53">
        <f t="shared" si="104"/>
        <v>0</v>
      </c>
      <c r="K162" s="53">
        <f t="shared" si="104"/>
        <v>0</v>
      </c>
      <c r="L162" s="53">
        <f t="shared" si="104"/>
        <v>0</v>
      </c>
      <c r="M162" s="53">
        <f t="shared" si="104"/>
        <v>0</v>
      </c>
      <c r="N162" s="53">
        <f t="shared" si="104"/>
        <v>0</v>
      </c>
      <c r="O162" s="53">
        <f t="shared" si="104"/>
        <v>0</v>
      </c>
      <c r="P162" s="53">
        <f t="shared" si="104"/>
        <v>0</v>
      </c>
      <c r="Q162" s="53">
        <f t="shared" si="104"/>
        <v>0</v>
      </c>
      <c r="R162" s="53">
        <f t="shared" si="104"/>
        <v>0</v>
      </c>
      <c r="S162" s="53">
        <f t="shared" si="104"/>
        <v>0</v>
      </c>
      <c r="T162" s="53">
        <f t="shared" si="104"/>
        <v>400952.29999999993</v>
      </c>
      <c r="U162" s="53">
        <f t="shared" si="104"/>
        <v>400758.46999999991</v>
      </c>
      <c r="V162" s="53">
        <f t="shared" si="104"/>
        <v>400564.63999999996</v>
      </c>
      <c r="W162" s="53">
        <f t="shared" si="104"/>
        <v>400370.80999999994</v>
      </c>
      <c r="X162" s="53">
        <f t="shared" si="104"/>
        <v>400176.97999999992</v>
      </c>
      <c r="Y162" s="53">
        <f t="shared" si="104"/>
        <v>399983.14999999991</v>
      </c>
      <c r="Z162" s="53">
        <f t="shared" si="104"/>
        <v>399789.31999999995</v>
      </c>
      <c r="AA162" s="53">
        <f t="shared" si="104"/>
        <v>399595.48999999993</v>
      </c>
      <c r="AB162" s="53">
        <f t="shared" si="104"/>
        <v>399401.65999999992</v>
      </c>
      <c r="AC162" s="53">
        <f t="shared" si="104"/>
        <v>399207.82999999996</v>
      </c>
      <c r="AD162" s="53">
        <f t="shared" si="104"/>
        <v>399013.99999999994</v>
      </c>
      <c r="AE162" s="53">
        <f t="shared" si="104"/>
        <v>399013.99999999994</v>
      </c>
      <c r="AF162" s="53">
        <f t="shared" si="104"/>
        <v>399013.99999999994</v>
      </c>
      <c r="AG162" s="53">
        <f t="shared" si="104"/>
        <v>399013.99999999994</v>
      </c>
      <c r="AH162" s="53">
        <f t="shared" si="104"/>
        <v>399013.99999999994</v>
      </c>
      <c r="AI162" s="53">
        <f t="shared" si="104"/>
        <v>399013.99999999994</v>
      </c>
      <c r="AJ162" s="53">
        <f t="shared" si="104"/>
        <v>399013.99999999994</v>
      </c>
      <c r="AK162" s="53">
        <f t="shared" si="104"/>
        <v>399013.99999999994</v>
      </c>
      <c r="AL162" s="53">
        <f t="shared" si="104"/>
        <v>399013.99999999994</v>
      </c>
      <c r="AM162" s="53">
        <f t="shared" si="104"/>
        <v>399013.99999999994</v>
      </c>
      <c r="AN162" s="53">
        <f t="shared" si="104"/>
        <v>399013.99999999994</v>
      </c>
      <c r="AO162" s="53">
        <f t="shared" si="104"/>
        <v>399013.99999999994</v>
      </c>
      <c r="AP162" s="53">
        <f t="shared" si="104"/>
        <v>399013.99999999994</v>
      </c>
      <c r="AQ162" s="53">
        <f t="shared" si="104"/>
        <v>399013.99999999994</v>
      </c>
      <c r="AR162" s="53">
        <f t="shared" si="104"/>
        <v>399013.99999999994</v>
      </c>
      <c r="AS162" s="53">
        <f t="shared" si="104"/>
        <v>399013.99999999994</v>
      </c>
      <c r="AT162" s="53">
        <f t="shared" si="104"/>
        <v>399013.99999999994</v>
      </c>
      <c r="AU162" s="53">
        <f t="shared" si="104"/>
        <v>399013.99999999994</v>
      </c>
      <c r="AV162" s="53">
        <f t="shared" si="104"/>
        <v>399013.99999999994</v>
      </c>
      <c r="AW162" s="53">
        <f t="shared" si="104"/>
        <v>399013.99999999994</v>
      </c>
      <c r="AX162" s="53">
        <f t="shared" si="104"/>
        <v>399013.99999999994</v>
      </c>
      <c r="AY162" s="53">
        <f t="shared" si="104"/>
        <v>399013.99999999994</v>
      </c>
      <c r="AZ162" s="53">
        <f t="shared" si="104"/>
        <v>399013.99999999994</v>
      </c>
      <c r="BA162" s="53">
        <f t="shared" si="104"/>
        <v>399013.99999999994</v>
      </c>
      <c r="BB162" s="53">
        <f t="shared" si="104"/>
        <v>399013.99999999994</v>
      </c>
      <c r="BC162" s="53">
        <f t="shared" si="104"/>
        <v>399013.99999999994</v>
      </c>
      <c r="BD162" s="53">
        <f t="shared" si="104"/>
        <v>399013.99999999994</v>
      </c>
      <c r="BE162" s="53">
        <f t="shared" si="104"/>
        <v>399013.99999999994</v>
      </c>
      <c r="BF162" s="53">
        <f t="shared" si="104"/>
        <v>399013.99999999994</v>
      </c>
      <c r="BG162" s="53">
        <f t="shared" si="104"/>
        <v>399013.99999999994</v>
      </c>
      <c r="BH162" s="53">
        <f t="shared" si="104"/>
        <v>399013.99999999994</v>
      </c>
      <c r="BI162" s="53">
        <f t="shared" si="104"/>
        <v>399013.99999999994</v>
      </c>
      <c r="BJ162" s="53">
        <f t="shared" si="104"/>
        <v>399013.99999999994</v>
      </c>
      <c r="BK162" s="53">
        <f t="shared" si="104"/>
        <v>399013.99999999994</v>
      </c>
      <c r="BL162" s="53">
        <f t="shared" si="104"/>
        <v>399013.99999999994</v>
      </c>
      <c r="BM162" s="53">
        <f t="shared" si="104"/>
        <v>399013.99999999994</v>
      </c>
      <c r="BN162" s="53">
        <f t="shared" si="104"/>
        <v>399013.99999999994</v>
      </c>
      <c r="BO162" s="53">
        <f t="shared" si="104"/>
        <v>399013.99999999994</v>
      </c>
      <c r="BP162" s="53">
        <f t="shared" ref="BP162:CP162" si="105">Opening_year_with_scheme_PM10_concentrations_mask+Forecast_year_with_scheme_PM10_concentrations_mask+Interpolation_with_scheme_PM10_concentrations_mask+Extrapolation_with_scheme_PM10_concentrations_mask</f>
        <v>399013.99999999994</v>
      </c>
      <c r="BQ162" s="53">
        <f t="shared" si="105"/>
        <v>399013.99999999994</v>
      </c>
      <c r="BR162" s="53">
        <f t="shared" si="105"/>
        <v>399013.99999999994</v>
      </c>
      <c r="BS162" s="53">
        <f t="shared" si="105"/>
        <v>399013.99999999994</v>
      </c>
      <c r="BT162" s="53">
        <f t="shared" si="105"/>
        <v>399013.99999999994</v>
      </c>
      <c r="BU162" s="53">
        <f t="shared" si="105"/>
        <v>399013.99999999994</v>
      </c>
      <c r="BV162" s="53">
        <f t="shared" si="105"/>
        <v>399013.99999999994</v>
      </c>
      <c r="BW162" s="53">
        <f t="shared" si="105"/>
        <v>399013.99999999994</v>
      </c>
      <c r="BX162" s="53">
        <f t="shared" si="105"/>
        <v>399013.99999999994</v>
      </c>
      <c r="BY162" s="53">
        <f t="shared" si="105"/>
        <v>399013.99999999994</v>
      </c>
      <c r="BZ162" s="53">
        <f t="shared" si="105"/>
        <v>399013.99999999994</v>
      </c>
      <c r="CA162" s="53">
        <f t="shared" si="105"/>
        <v>399013.99999999994</v>
      </c>
      <c r="CB162" s="53">
        <f t="shared" si="105"/>
        <v>0</v>
      </c>
      <c r="CC162" s="53">
        <f t="shared" si="105"/>
        <v>0</v>
      </c>
      <c r="CD162" s="53">
        <f t="shared" si="105"/>
        <v>0</v>
      </c>
      <c r="CE162" s="53">
        <f t="shared" si="105"/>
        <v>0</v>
      </c>
      <c r="CF162" s="53">
        <f t="shared" si="105"/>
        <v>0</v>
      </c>
      <c r="CG162" s="53">
        <f t="shared" si="105"/>
        <v>0</v>
      </c>
      <c r="CH162" s="53">
        <f t="shared" si="105"/>
        <v>0</v>
      </c>
      <c r="CI162" s="53">
        <f t="shared" si="105"/>
        <v>0</v>
      </c>
      <c r="CJ162" s="53">
        <f t="shared" si="105"/>
        <v>0</v>
      </c>
      <c r="CK162" s="53">
        <f t="shared" si="105"/>
        <v>0</v>
      </c>
      <c r="CL162" s="53">
        <f t="shared" si="105"/>
        <v>0</v>
      </c>
      <c r="CM162" s="53">
        <f t="shared" si="105"/>
        <v>0</v>
      </c>
      <c r="CN162" s="53">
        <f t="shared" si="105"/>
        <v>0</v>
      </c>
      <c r="CO162" s="53">
        <f t="shared" si="105"/>
        <v>0</v>
      </c>
      <c r="CP162" s="53">
        <f t="shared" si="105"/>
        <v>0</v>
      </c>
      <c r="CQ162" s="52" t="s">
        <v>138</v>
      </c>
    </row>
    <row r="163" spans="1:95" hidden="1" outlineLevel="1" x14ac:dyDescent="0.25"/>
    <row r="164" spans="1:95" ht="15.75" hidden="1" outlineLevel="1" x14ac:dyDescent="0.25">
      <c r="A164" s="86"/>
      <c r="B164" s="86" t="s">
        <v>201</v>
      </c>
      <c r="C164" s="86"/>
      <c r="D164" s="114">
        <f t="shared" ref="D164:BO164" si="106">Total_with_scheme_PM10_concentrations-Total_without_scheme_PM10_concentrations</f>
        <v>0</v>
      </c>
      <c r="E164" s="114">
        <f t="shared" si="106"/>
        <v>0</v>
      </c>
      <c r="F164" s="114">
        <f t="shared" si="106"/>
        <v>0</v>
      </c>
      <c r="G164" s="114">
        <f t="shared" si="106"/>
        <v>0</v>
      </c>
      <c r="H164" s="114">
        <f t="shared" si="106"/>
        <v>0</v>
      </c>
      <c r="I164" s="114">
        <f t="shared" si="106"/>
        <v>0</v>
      </c>
      <c r="J164" s="114">
        <f t="shared" si="106"/>
        <v>0</v>
      </c>
      <c r="K164" s="114">
        <f t="shared" si="106"/>
        <v>0</v>
      </c>
      <c r="L164" s="114">
        <f t="shared" si="106"/>
        <v>0</v>
      </c>
      <c r="M164" s="114">
        <f t="shared" si="106"/>
        <v>0</v>
      </c>
      <c r="N164" s="114">
        <f t="shared" si="106"/>
        <v>0</v>
      </c>
      <c r="O164" s="114">
        <f t="shared" si="106"/>
        <v>0</v>
      </c>
      <c r="P164" s="114">
        <f t="shared" si="106"/>
        <v>0</v>
      </c>
      <c r="Q164" s="114">
        <f t="shared" si="106"/>
        <v>0</v>
      </c>
      <c r="R164" s="114">
        <f t="shared" si="106"/>
        <v>0</v>
      </c>
      <c r="S164" s="114">
        <f t="shared" si="106"/>
        <v>0</v>
      </c>
      <c r="T164" s="114">
        <f t="shared" si="106"/>
        <v>72.399999999906868</v>
      </c>
      <c r="U164" s="114">
        <f t="shared" si="106"/>
        <v>79.309999999881256</v>
      </c>
      <c r="V164" s="114">
        <f t="shared" si="106"/>
        <v>86.219999999913853</v>
      </c>
      <c r="W164" s="114">
        <f t="shared" si="106"/>
        <v>93.129999999946449</v>
      </c>
      <c r="X164" s="114">
        <f t="shared" si="106"/>
        <v>100.03999999992084</v>
      </c>
      <c r="Y164" s="114">
        <f t="shared" si="106"/>
        <v>106.94999999989523</v>
      </c>
      <c r="Z164" s="114">
        <f t="shared" si="106"/>
        <v>113.85999999992782</v>
      </c>
      <c r="AA164" s="114">
        <f t="shared" si="106"/>
        <v>120.76999999990221</v>
      </c>
      <c r="AB164" s="114">
        <f t="shared" si="106"/>
        <v>127.67999999993481</v>
      </c>
      <c r="AC164" s="114">
        <f t="shared" si="106"/>
        <v>134.5899999999674</v>
      </c>
      <c r="AD164" s="114">
        <f t="shared" si="106"/>
        <v>141.49999999994179</v>
      </c>
      <c r="AE164" s="114">
        <f t="shared" si="106"/>
        <v>141.49999999994179</v>
      </c>
      <c r="AF164" s="114">
        <f t="shared" si="106"/>
        <v>141.49999999994179</v>
      </c>
      <c r="AG164" s="114">
        <f t="shared" si="106"/>
        <v>141.49999999994179</v>
      </c>
      <c r="AH164" s="114">
        <f t="shared" si="106"/>
        <v>141.49999999994179</v>
      </c>
      <c r="AI164" s="114">
        <f t="shared" si="106"/>
        <v>141.49999999994179</v>
      </c>
      <c r="AJ164" s="114">
        <f t="shared" si="106"/>
        <v>141.49999999994179</v>
      </c>
      <c r="AK164" s="114">
        <f t="shared" si="106"/>
        <v>141.49999999994179</v>
      </c>
      <c r="AL164" s="114">
        <f t="shared" si="106"/>
        <v>141.49999999994179</v>
      </c>
      <c r="AM164" s="114">
        <f t="shared" si="106"/>
        <v>141.49999999994179</v>
      </c>
      <c r="AN164" s="114">
        <f t="shared" si="106"/>
        <v>141.49999999994179</v>
      </c>
      <c r="AO164" s="114">
        <f t="shared" si="106"/>
        <v>141.49999999994179</v>
      </c>
      <c r="AP164" s="114">
        <f t="shared" si="106"/>
        <v>141.49999999994179</v>
      </c>
      <c r="AQ164" s="114">
        <f t="shared" si="106"/>
        <v>141.49999999994179</v>
      </c>
      <c r="AR164" s="114">
        <f t="shared" si="106"/>
        <v>141.49999999994179</v>
      </c>
      <c r="AS164" s="114">
        <f t="shared" si="106"/>
        <v>141.49999999994179</v>
      </c>
      <c r="AT164" s="114">
        <f t="shared" si="106"/>
        <v>141.49999999994179</v>
      </c>
      <c r="AU164" s="114">
        <f t="shared" si="106"/>
        <v>141.49999999994179</v>
      </c>
      <c r="AV164" s="114">
        <f t="shared" si="106"/>
        <v>141.49999999994179</v>
      </c>
      <c r="AW164" s="114">
        <f t="shared" si="106"/>
        <v>141.49999999994179</v>
      </c>
      <c r="AX164" s="114">
        <f t="shared" si="106"/>
        <v>141.49999999994179</v>
      </c>
      <c r="AY164" s="114">
        <f t="shared" si="106"/>
        <v>141.49999999994179</v>
      </c>
      <c r="AZ164" s="114">
        <f t="shared" si="106"/>
        <v>141.49999999994179</v>
      </c>
      <c r="BA164" s="114">
        <f t="shared" si="106"/>
        <v>141.49999999994179</v>
      </c>
      <c r="BB164" s="114">
        <f t="shared" si="106"/>
        <v>141.49999999994179</v>
      </c>
      <c r="BC164" s="114">
        <f t="shared" si="106"/>
        <v>141.49999999994179</v>
      </c>
      <c r="BD164" s="114">
        <f t="shared" si="106"/>
        <v>141.49999999994179</v>
      </c>
      <c r="BE164" s="114">
        <f t="shared" si="106"/>
        <v>141.49999999994179</v>
      </c>
      <c r="BF164" s="114">
        <f t="shared" si="106"/>
        <v>141.49999999994179</v>
      </c>
      <c r="BG164" s="114">
        <f t="shared" si="106"/>
        <v>141.49999999994179</v>
      </c>
      <c r="BH164" s="114">
        <f t="shared" si="106"/>
        <v>141.49999999994179</v>
      </c>
      <c r="BI164" s="114">
        <f t="shared" si="106"/>
        <v>141.49999999994179</v>
      </c>
      <c r="BJ164" s="114">
        <f t="shared" si="106"/>
        <v>141.49999999994179</v>
      </c>
      <c r="BK164" s="114">
        <f t="shared" si="106"/>
        <v>141.49999999994179</v>
      </c>
      <c r="BL164" s="114">
        <f t="shared" si="106"/>
        <v>141.49999999994179</v>
      </c>
      <c r="BM164" s="114">
        <f t="shared" si="106"/>
        <v>141.49999999994179</v>
      </c>
      <c r="BN164" s="114">
        <f t="shared" si="106"/>
        <v>141.49999999994179</v>
      </c>
      <c r="BO164" s="114">
        <f t="shared" si="106"/>
        <v>141.49999999994179</v>
      </c>
      <c r="BP164" s="114">
        <f t="shared" ref="BP164:CP164" si="107">Total_with_scheme_PM10_concentrations-Total_without_scheme_PM10_concentrations</f>
        <v>141.49999999994179</v>
      </c>
      <c r="BQ164" s="114">
        <f t="shared" si="107"/>
        <v>141.49999999994179</v>
      </c>
      <c r="BR164" s="114">
        <f t="shared" si="107"/>
        <v>141.49999999994179</v>
      </c>
      <c r="BS164" s="114">
        <f t="shared" si="107"/>
        <v>141.49999999994179</v>
      </c>
      <c r="BT164" s="114">
        <f t="shared" si="107"/>
        <v>141.49999999994179</v>
      </c>
      <c r="BU164" s="114">
        <f t="shared" si="107"/>
        <v>141.49999999994179</v>
      </c>
      <c r="BV164" s="114">
        <f t="shared" si="107"/>
        <v>141.49999999994179</v>
      </c>
      <c r="BW164" s="114">
        <f t="shared" si="107"/>
        <v>141.49999999994179</v>
      </c>
      <c r="BX164" s="114">
        <f t="shared" si="107"/>
        <v>141.49999999994179</v>
      </c>
      <c r="BY164" s="114">
        <f t="shared" si="107"/>
        <v>141.49999999994179</v>
      </c>
      <c r="BZ164" s="114">
        <f t="shared" si="107"/>
        <v>141.49999999994179</v>
      </c>
      <c r="CA164" s="114">
        <f t="shared" si="107"/>
        <v>141.49999999994179</v>
      </c>
      <c r="CB164" s="114">
        <f t="shared" si="107"/>
        <v>0</v>
      </c>
      <c r="CC164" s="114">
        <f t="shared" si="107"/>
        <v>0</v>
      </c>
      <c r="CD164" s="114">
        <f t="shared" si="107"/>
        <v>0</v>
      </c>
      <c r="CE164" s="114">
        <f t="shared" si="107"/>
        <v>0</v>
      </c>
      <c r="CF164" s="114">
        <f t="shared" si="107"/>
        <v>0</v>
      </c>
      <c r="CG164" s="114">
        <f t="shared" si="107"/>
        <v>0</v>
      </c>
      <c r="CH164" s="114">
        <f t="shared" si="107"/>
        <v>0</v>
      </c>
      <c r="CI164" s="114">
        <f t="shared" si="107"/>
        <v>0</v>
      </c>
      <c r="CJ164" s="114">
        <f t="shared" si="107"/>
        <v>0</v>
      </c>
      <c r="CK164" s="114">
        <f t="shared" si="107"/>
        <v>0</v>
      </c>
      <c r="CL164" s="114">
        <f t="shared" si="107"/>
        <v>0</v>
      </c>
      <c r="CM164" s="114">
        <f t="shared" si="107"/>
        <v>0</v>
      </c>
      <c r="CN164" s="114">
        <f t="shared" si="107"/>
        <v>0</v>
      </c>
      <c r="CO164" s="114">
        <f t="shared" si="107"/>
        <v>0</v>
      </c>
      <c r="CP164" s="114">
        <f t="shared" si="107"/>
        <v>0</v>
      </c>
      <c r="CQ164" s="116" t="s">
        <v>211</v>
      </c>
    </row>
    <row r="165" spans="1:95" ht="15.75" hidden="1" outlineLevel="1" x14ac:dyDescent="0.25">
      <c r="A165" s="102"/>
      <c r="B165" s="102"/>
      <c r="C165" s="102"/>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6"/>
    </row>
    <row r="166" spans="1:95" ht="15.75" hidden="1" outlineLevel="1" x14ac:dyDescent="0.25">
      <c r="A166" s="102"/>
      <c r="B166" s="147" t="s">
        <v>312</v>
      </c>
      <c r="C166" s="149">
        <f>Opening_year_with_scheme_PM10_concentrations-Opening_year_without_scheme_PM10_concentrations</f>
        <v>72.399999999906868</v>
      </c>
      <c r="D166" s="148" t="s">
        <v>213</v>
      </c>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6"/>
      <c r="CQ166" s="102"/>
    </row>
    <row r="167" spans="1:95" collapsed="1" x14ac:dyDescent="0.25">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2"/>
    </row>
    <row r="168" spans="1:95" ht="18.75" x14ac:dyDescent="0.3">
      <c r="A168" s="55"/>
      <c r="B168" s="55" t="s">
        <v>416</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row>
    <row r="169" spans="1:95" outlineLevel="1" x14ac:dyDescent="0.25">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row>
    <row r="170" spans="1:95" ht="15.75" outlineLevel="1" x14ac:dyDescent="0.25">
      <c r="A170" s="56"/>
      <c r="B170" s="56" t="s">
        <v>420</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row>
    <row r="171" spans="1:95" outlineLevel="1" x14ac:dyDescent="0.25"/>
    <row r="172" spans="1:95" outlineLevel="1" x14ac:dyDescent="0.25">
      <c r="D172">
        <v>2010</v>
      </c>
      <c r="E172">
        <v>2011</v>
      </c>
      <c r="F172">
        <v>2012</v>
      </c>
      <c r="G172">
        <v>2013</v>
      </c>
      <c r="H172">
        <v>2014</v>
      </c>
      <c r="I172">
        <v>2015</v>
      </c>
      <c r="J172">
        <v>2016</v>
      </c>
      <c r="K172">
        <v>2017</v>
      </c>
      <c r="L172">
        <v>2018</v>
      </c>
      <c r="M172">
        <v>2019</v>
      </c>
      <c r="N172">
        <v>2020</v>
      </c>
      <c r="O172">
        <v>2021</v>
      </c>
      <c r="P172">
        <v>2022</v>
      </c>
      <c r="Q172">
        <v>2023</v>
      </c>
      <c r="R172">
        <v>2024</v>
      </c>
      <c r="S172">
        <v>2025</v>
      </c>
      <c r="T172">
        <v>2026</v>
      </c>
      <c r="U172">
        <v>2027</v>
      </c>
      <c r="V172">
        <v>2028</v>
      </c>
      <c r="W172">
        <v>2029</v>
      </c>
      <c r="X172">
        <v>2030</v>
      </c>
      <c r="Y172">
        <v>2031</v>
      </c>
      <c r="Z172">
        <v>2032</v>
      </c>
      <c r="AA172">
        <v>2033</v>
      </c>
      <c r="AB172">
        <v>2034</v>
      </c>
      <c r="AC172">
        <v>2035</v>
      </c>
      <c r="AD172">
        <v>2036</v>
      </c>
      <c r="AE172">
        <v>2037</v>
      </c>
      <c r="AF172">
        <v>2038</v>
      </c>
      <c r="AG172">
        <v>2039</v>
      </c>
      <c r="AH172">
        <v>2040</v>
      </c>
      <c r="AI172">
        <v>2041</v>
      </c>
      <c r="AJ172">
        <v>2042</v>
      </c>
      <c r="AK172">
        <v>2043</v>
      </c>
      <c r="AL172">
        <v>2044</v>
      </c>
      <c r="AM172">
        <v>2045</v>
      </c>
      <c r="AN172">
        <v>2046</v>
      </c>
      <c r="AO172">
        <v>2047</v>
      </c>
      <c r="AP172">
        <v>2048</v>
      </c>
      <c r="AQ172">
        <v>2049</v>
      </c>
      <c r="AR172">
        <v>2050</v>
      </c>
      <c r="AS172">
        <v>2051</v>
      </c>
      <c r="AT172">
        <v>2052</v>
      </c>
      <c r="AU172">
        <v>2053</v>
      </c>
      <c r="AV172">
        <v>2054</v>
      </c>
      <c r="AW172">
        <v>2055</v>
      </c>
      <c r="AX172">
        <v>2056</v>
      </c>
      <c r="AY172">
        <v>2057</v>
      </c>
      <c r="AZ172">
        <v>2058</v>
      </c>
      <c r="BA172">
        <v>2059</v>
      </c>
      <c r="BB172">
        <v>2060</v>
      </c>
      <c r="BC172">
        <v>2061</v>
      </c>
      <c r="BD172">
        <v>2062</v>
      </c>
      <c r="BE172">
        <v>2063</v>
      </c>
      <c r="BF172">
        <v>2064</v>
      </c>
      <c r="BG172">
        <v>2065</v>
      </c>
      <c r="BH172">
        <v>2066</v>
      </c>
      <c r="BI172">
        <v>2067</v>
      </c>
      <c r="BJ172">
        <v>2068</v>
      </c>
      <c r="BK172">
        <v>2069</v>
      </c>
      <c r="BL172">
        <v>2070</v>
      </c>
      <c r="BM172">
        <v>2071</v>
      </c>
      <c r="BN172">
        <v>2072</v>
      </c>
      <c r="BO172">
        <v>2073</v>
      </c>
      <c r="BP172">
        <v>2074</v>
      </c>
      <c r="BQ172">
        <v>2075</v>
      </c>
      <c r="BR172">
        <v>2076</v>
      </c>
      <c r="BS172">
        <v>2077</v>
      </c>
      <c r="BT172">
        <v>2078</v>
      </c>
      <c r="BU172">
        <v>2079</v>
      </c>
      <c r="BV172">
        <v>2080</v>
      </c>
      <c r="BW172">
        <v>2081</v>
      </c>
      <c r="BX172">
        <v>2082</v>
      </c>
      <c r="BY172">
        <v>2083</v>
      </c>
      <c r="BZ172">
        <v>2084</v>
      </c>
      <c r="CA172">
        <v>2085</v>
      </c>
      <c r="CB172">
        <v>2086</v>
      </c>
      <c r="CC172">
        <v>2087</v>
      </c>
      <c r="CD172">
        <v>2088</v>
      </c>
      <c r="CE172">
        <v>2089</v>
      </c>
      <c r="CF172">
        <v>2090</v>
      </c>
      <c r="CG172">
        <v>2091</v>
      </c>
      <c r="CH172">
        <v>2092</v>
      </c>
      <c r="CI172">
        <v>2093</v>
      </c>
      <c r="CJ172">
        <v>2094</v>
      </c>
      <c r="CK172">
        <v>2095</v>
      </c>
      <c r="CL172">
        <v>2096</v>
      </c>
      <c r="CM172">
        <v>2097</v>
      </c>
      <c r="CN172">
        <v>2098</v>
      </c>
      <c r="CO172">
        <v>2099</v>
      </c>
      <c r="CP172">
        <v>2100</v>
      </c>
    </row>
    <row r="173" spans="1:95" outlineLevel="1" x14ac:dyDescent="0.25">
      <c r="B173" t="s">
        <v>313</v>
      </c>
      <c r="D173" s="80">
        <f t="shared" ref="D173:BO173" si="108">GDP_deflator_in</f>
        <v>100</v>
      </c>
      <c r="E173" s="80">
        <f t="shared" si="108"/>
        <v>102.01237956832982</v>
      </c>
      <c r="F173" s="80">
        <f t="shared" si="108"/>
        <v>103.57877173152484</v>
      </c>
      <c r="G173" s="80">
        <f t="shared" si="108"/>
        <v>105.55272081382208</v>
      </c>
      <c r="H173" s="80">
        <f t="shared" si="108"/>
        <v>107.28962807470801</v>
      </c>
      <c r="I173" s="80">
        <f t="shared" si="108"/>
        <v>107.64842025943268</v>
      </c>
      <c r="J173" s="80">
        <f t="shared" si="108"/>
        <v>108.83255288228646</v>
      </c>
      <c r="K173" s="80">
        <f t="shared" si="108"/>
        <v>110.90037138704989</v>
      </c>
      <c r="L173" s="80">
        <f t="shared" si="108"/>
        <v>113.11837881479087</v>
      </c>
      <c r="M173" s="80">
        <f t="shared" si="108"/>
        <v>115.2676280122719</v>
      </c>
      <c r="N173" s="80">
        <f t="shared" si="108"/>
        <v>117.57298057251735</v>
      </c>
      <c r="O173" s="80">
        <f t="shared" si="108"/>
        <v>120.0126199193971</v>
      </c>
      <c r="P173" s="80">
        <f t="shared" si="108"/>
        <v>122.59289124766413</v>
      </c>
      <c r="Q173" s="80">
        <f t="shared" si="108"/>
        <v>125.32058307792467</v>
      </c>
      <c r="R173" s="80">
        <f t="shared" si="108"/>
        <v>128.20295648871692</v>
      </c>
      <c r="S173" s="80">
        <f t="shared" si="108"/>
        <v>131.15162448795738</v>
      </c>
      <c r="T173" s="80">
        <f t="shared" si="108"/>
        <v>134.16811185118041</v>
      </c>
      <c r="U173" s="80">
        <f t="shared" si="108"/>
        <v>137.25397842375756</v>
      </c>
      <c r="V173" s="80">
        <f t="shared" si="108"/>
        <v>140.41081992750398</v>
      </c>
      <c r="W173" s="80">
        <f t="shared" si="108"/>
        <v>143.64026878583655</v>
      </c>
      <c r="X173" s="80">
        <f t="shared" si="108"/>
        <v>146.94399496791078</v>
      </c>
      <c r="Y173" s="80">
        <f t="shared" si="108"/>
        <v>150.32370685217273</v>
      </c>
      <c r="Z173" s="80">
        <f t="shared" si="108"/>
        <v>153.78115210977271</v>
      </c>
      <c r="AA173" s="80">
        <f t="shared" si="108"/>
        <v>157.31811860829745</v>
      </c>
      <c r="AB173" s="80">
        <f t="shared" si="108"/>
        <v>160.9364353362883</v>
      </c>
      <c r="AC173" s="80">
        <f t="shared" si="108"/>
        <v>164.63797334902293</v>
      </c>
      <c r="AD173" s="80">
        <f t="shared" si="108"/>
        <v>168.42464673605045</v>
      </c>
      <c r="AE173" s="80">
        <f t="shared" si="108"/>
        <v>172.29841361097957</v>
      </c>
      <c r="AF173" s="80">
        <f t="shared" si="108"/>
        <v>176.26127712403209</v>
      </c>
      <c r="AG173" s="80">
        <f t="shared" si="108"/>
        <v>180.31528649788478</v>
      </c>
      <c r="AH173" s="80">
        <f t="shared" si="108"/>
        <v>184.46253808733613</v>
      </c>
      <c r="AI173" s="80">
        <f t="shared" si="108"/>
        <v>188.70517646334483</v>
      </c>
      <c r="AJ173" s="80">
        <f t="shared" si="108"/>
        <v>193.04539552200174</v>
      </c>
      <c r="AK173" s="80">
        <f t="shared" si="108"/>
        <v>197.48543961900776</v>
      </c>
      <c r="AL173" s="80">
        <f t="shared" si="108"/>
        <v>202.02760473024489</v>
      </c>
      <c r="AM173" s="80">
        <f t="shared" si="108"/>
        <v>206.67423963904054</v>
      </c>
      <c r="AN173" s="80">
        <f t="shared" si="108"/>
        <v>211.42774715073847</v>
      </c>
      <c r="AO173" s="80">
        <f t="shared" si="108"/>
        <v>216.29058533520544</v>
      </c>
      <c r="AP173" s="80">
        <f t="shared" si="108"/>
        <v>221.26526879791513</v>
      </c>
      <c r="AQ173" s="80">
        <f t="shared" si="108"/>
        <v>226.35436998026717</v>
      </c>
      <c r="AR173" s="80">
        <f t="shared" si="108"/>
        <v>231.56052048981329</v>
      </c>
      <c r="AS173" s="80">
        <f t="shared" si="108"/>
        <v>236.88641246107895</v>
      </c>
      <c r="AT173" s="80">
        <f t="shared" si="108"/>
        <v>242.33479994768373</v>
      </c>
      <c r="AU173" s="80">
        <f t="shared" si="108"/>
        <v>247.90850034648045</v>
      </c>
      <c r="AV173" s="80">
        <f t="shared" si="108"/>
        <v>253.61039585444948</v>
      </c>
      <c r="AW173" s="80">
        <f t="shared" si="108"/>
        <v>259.44343495910181</v>
      </c>
      <c r="AX173" s="80">
        <f t="shared" si="108"/>
        <v>265.4106339631611</v>
      </c>
      <c r="AY173" s="80">
        <f t="shared" si="108"/>
        <v>271.51507854431378</v>
      </c>
      <c r="AZ173" s="80">
        <f t="shared" si="108"/>
        <v>277.75992535083299</v>
      </c>
      <c r="BA173" s="80">
        <f t="shared" si="108"/>
        <v>284.14840363390209</v>
      </c>
      <c r="BB173" s="80">
        <f t="shared" si="108"/>
        <v>290.68381691748181</v>
      </c>
      <c r="BC173" s="80">
        <f t="shared" si="108"/>
        <v>297.36954470658384</v>
      </c>
      <c r="BD173" s="80">
        <f t="shared" si="108"/>
        <v>304.20904423483523</v>
      </c>
      <c r="BE173" s="80">
        <f t="shared" si="108"/>
        <v>311.20585225223641</v>
      </c>
      <c r="BF173" s="80">
        <f t="shared" si="108"/>
        <v>318.36358685403781</v>
      </c>
      <c r="BG173" s="80">
        <f t="shared" si="108"/>
        <v>325.68594935168062</v>
      </c>
      <c r="BH173" s="80">
        <f t="shared" si="108"/>
        <v>333.17672618676926</v>
      </c>
      <c r="BI173" s="80">
        <f t="shared" si="108"/>
        <v>340.83979088906494</v>
      </c>
      <c r="BJ173" s="80">
        <f t="shared" si="108"/>
        <v>348.67910607951342</v>
      </c>
      <c r="BK173" s="80">
        <f t="shared" si="108"/>
        <v>356.69872551934219</v>
      </c>
      <c r="BL173" s="80">
        <f t="shared" si="108"/>
        <v>364.90279620628706</v>
      </c>
      <c r="BM173" s="80">
        <f t="shared" si="108"/>
        <v>373.29556051903154</v>
      </c>
      <c r="BN173" s="80">
        <f t="shared" si="108"/>
        <v>381.88135841096931</v>
      </c>
      <c r="BO173" s="80">
        <f t="shared" si="108"/>
        <v>390.6646296544215</v>
      </c>
      <c r="BP173" s="80">
        <f t="shared" ref="BP173:CP173" si="109">GDP_deflator_in</f>
        <v>399.64991613647322</v>
      </c>
      <c r="BQ173" s="80">
        <f t="shared" si="109"/>
        <v>408.84186420761199</v>
      </c>
      <c r="BR173" s="80">
        <f t="shared" si="109"/>
        <v>418.24522708438712</v>
      </c>
      <c r="BS173" s="80">
        <f t="shared" si="109"/>
        <v>427.86486730732793</v>
      </c>
      <c r="BT173" s="80">
        <f t="shared" si="109"/>
        <v>437.70575925539646</v>
      </c>
      <c r="BU173" s="80">
        <f t="shared" si="109"/>
        <v>447.77299171827048</v>
      </c>
      <c r="BV173" s="80">
        <f t="shared" si="109"/>
        <v>458.0717705277907</v>
      </c>
      <c r="BW173" s="80">
        <f t="shared" si="109"/>
        <v>468.60742124992987</v>
      </c>
      <c r="BX173" s="80">
        <f t="shared" si="109"/>
        <v>479.3853919386782</v>
      </c>
      <c r="BY173" s="80">
        <f t="shared" si="109"/>
        <v>490.41125595326776</v>
      </c>
      <c r="BZ173" s="80">
        <f t="shared" si="109"/>
        <v>501.69071484019287</v>
      </c>
      <c r="CA173" s="80">
        <f t="shared" si="109"/>
        <v>513.22960128151726</v>
      </c>
      <c r="CB173" s="80">
        <f t="shared" si="109"/>
        <v>525.03388211099218</v>
      </c>
      <c r="CC173" s="80">
        <f t="shared" si="109"/>
        <v>537.10966139954496</v>
      </c>
      <c r="CD173" s="80">
        <f t="shared" si="109"/>
        <v>549.46318361173439</v>
      </c>
      <c r="CE173" s="80">
        <f t="shared" si="109"/>
        <v>562.10083683480423</v>
      </c>
      <c r="CF173" s="80">
        <f t="shared" si="109"/>
        <v>575.02915608200476</v>
      </c>
      <c r="CG173" s="80">
        <f t="shared" si="109"/>
        <v>588.25482667189078</v>
      </c>
      <c r="CH173" s="80">
        <f t="shared" si="109"/>
        <v>601.78468768534424</v>
      </c>
      <c r="CI173" s="80">
        <f t="shared" si="109"/>
        <v>615.6257355021072</v>
      </c>
      <c r="CJ173" s="80">
        <f t="shared" si="109"/>
        <v>629.78512741865552</v>
      </c>
      <c r="CK173" s="80">
        <f t="shared" si="109"/>
        <v>644.27018534928459</v>
      </c>
      <c r="CL173" s="80">
        <f t="shared" si="109"/>
        <v>659.08839961231809</v>
      </c>
      <c r="CM173" s="80">
        <f t="shared" si="109"/>
        <v>674.24743280340135</v>
      </c>
      <c r="CN173" s="80">
        <f t="shared" si="109"/>
        <v>689.75512375787946</v>
      </c>
      <c r="CO173" s="80">
        <f t="shared" si="109"/>
        <v>705.61949160431061</v>
      </c>
      <c r="CP173" s="80">
        <f t="shared" si="109"/>
        <v>721.84873991120969</v>
      </c>
      <c r="CQ173" s="52" t="s">
        <v>143</v>
      </c>
    </row>
    <row r="174" spans="1:95" outlineLevel="1" x14ac:dyDescent="0.25">
      <c r="B174" t="s">
        <v>314</v>
      </c>
      <c r="D174" s="80">
        <f t="shared" ref="D174:BO174" si="110">GDP_household_in</f>
        <v>120.72854081974981</v>
      </c>
      <c r="E174" s="80">
        <f t="shared" si="110"/>
        <v>121.76624150588371</v>
      </c>
      <c r="F174" s="80">
        <f t="shared" si="110"/>
        <v>122.4148093124263</v>
      </c>
      <c r="G174" s="80">
        <f t="shared" si="110"/>
        <v>124.56703199335765</v>
      </c>
      <c r="H174" s="80">
        <f t="shared" si="110"/>
        <v>128.15624351628929</v>
      </c>
      <c r="I174" s="80">
        <f t="shared" si="110"/>
        <v>129.62112046767322</v>
      </c>
      <c r="J174" s="80">
        <f t="shared" si="110"/>
        <v>130.93888806586813</v>
      </c>
      <c r="K174" s="80">
        <f t="shared" si="110"/>
        <v>132.57094947174735</v>
      </c>
      <c r="L174" s="80">
        <f t="shared" si="110"/>
        <v>134.11183354105594</v>
      </c>
      <c r="M174" s="80">
        <f t="shared" si="110"/>
        <v>135.68252856898073</v>
      </c>
      <c r="N174" s="80">
        <f t="shared" si="110"/>
        <v>137.30155650489715</v>
      </c>
      <c r="O174" s="80">
        <f t="shared" si="110"/>
        <v>139.35807095256814</v>
      </c>
      <c r="P174" s="80">
        <f t="shared" si="110"/>
        <v>141.48634034956527</v>
      </c>
      <c r="Q174" s="80">
        <f t="shared" si="110"/>
        <v>143.67041005985089</v>
      </c>
      <c r="R174" s="80">
        <f t="shared" si="110"/>
        <v>146.03482327211054</v>
      </c>
      <c r="S174" s="80">
        <f t="shared" si="110"/>
        <v>148.4679214351049</v>
      </c>
      <c r="T174" s="80">
        <f t="shared" si="110"/>
        <v>150.93522274168933</v>
      </c>
      <c r="U174" s="80">
        <f t="shared" si="110"/>
        <v>153.47226853333811</v>
      </c>
      <c r="V174" s="80">
        <f t="shared" si="110"/>
        <v>156.08454881308842</v>
      </c>
      <c r="W174" s="80">
        <f t="shared" si="110"/>
        <v>158.76885183156472</v>
      </c>
      <c r="X174" s="80">
        <f t="shared" si="110"/>
        <v>161.5306939323479</v>
      </c>
      <c r="Y174" s="80">
        <f t="shared" si="110"/>
        <v>164.35010657602442</v>
      </c>
      <c r="Z174" s="80">
        <f t="shared" si="110"/>
        <v>167.26633540662601</v>
      </c>
      <c r="AA174" s="80">
        <f t="shared" si="110"/>
        <v>170.27390826943093</v>
      </c>
      <c r="AB174" s="80">
        <f t="shared" si="110"/>
        <v>173.93478606129381</v>
      </c>
      <c r="AC174" s="80">
        <f t="shared" si="110"/>
        <v>177.52033443059497</v>
      </c>
      <c r="AD174" s="80">
        <f t="shared" si="110"/>
        <v>181.19656353637319</v>
      </c>
      <c r="AE174" s="80">
        <f t="shared" si="110"/>
        <v>184.96316996756352</v>
      </c>
      <c r="AF174" s="80">
        <f t="shared" si="110"/>
        <v>188.83329024257074</v>
      </c>
      <c r="AG174" s="80">
        <f t="shared" si="110"/>
        <v>192.78438788699503</v>
      </c>
      <c r="AH174" s="80">
        <f t="shared" si="110"/>
        <v>196.8181572498209</v>
      </c>
      <c r="AI174" s="80">
        <f t="shared" si="110"/>
        <v>200.93632813214126</v>
      </c>
      <c r="AJ174" s="80">
        <f t="shared" si="110"/>
        <v>205.1777059126633</v>
      </c>
      <c r="AK174" s="80">
        <f t="shared" si="110"/>
        <v>209.50861098595681</v>
      </c>
      <c r="AL174" s="80">
        <f t="shared" si="110"/>
        <v>213.93093310025117</v>
      </c>
      <c r="AM174" s="80">
        <f t="shared" si="110"/>
        <v>218.4466018927109</v>
      </c>
      <c r="AN174" s="80">
        <f t="shared" si="110"/>
        <v>223.27520489017627</v>
      </c>
      <c r="AO174" s="80">
        <f t="shared" si="110"/>
        <v>228.04822714879759</v>
      </c>
      <c r="AP174" s="80">
        <f t="shared" si="110"/>
        <v>232.92328376225248</v>
      </c>
      <c r="AQ174" s="80">
        <f t="shared" si="110"/>
        <v>237.90255595011251</v>
      </c>
      <c r="AR174" s="80">
        <f t="shared" si="110"/>
        <v>242.98827156054639</v>
      </c>
      <c r="AS174" s="80">
        <f t="shared" si="110"/>
        <v>247.94057659777991</v>
      </c>
      <c r="AT174" s="80">
        <f t="shared" si="110"/>
        <v>253.07416559518032</v>
      </c>
      <c r="AU174" s="80">
        <f t="shared" si="110"/>
        <v>258.31404512540053</v>
      </c>
      <c r="AV174" s="80">
        <f t="shared" si="110"/>
        <v>263.6624159250739</v>
      </c>
      <c r="AW174" s="80">
        <f t="shared" si="110"/>
        <v>269.12152429690258</v>
      </c>
      <c r="AX174" s="80">
        <f t="shared" si="110"/>
        <v>274.6936630530991</v>
      </c>
      <c r="AY174" s="80">
        <f t="shared" si="110"/>
        <v>280.44704380019499</v>
      </c>
      <c r="AZ174" s="80">
        <f t="shared" si="110"/>
        <v>286.60053775355095</v>
      </c>
      <c r="BA174" s="80">
        <f t="shared" si="110"/>
        <v>292.88905002380869</v>
      </c>
      <c r="BB174" s="80">
        <f t="shared" si="110"/>
        <v>299.60755831077597</v>
      </c>
      <c r="BC174" s="80">
        <f t="shared" si="110"/>
        <v>306.48018077032282</v>
      </c>
      <c r="BD174" s="80">
        <f t="shared" si="110"/>
        <v>313.52868877105044</v>
      </c>
      <c r="BE174" s="80">
        <f t="shared" si="110"/>
        <v>320.73095328164914</v>
      </c>
      <c r="BF174" s="80">
        <f t="shared" si="110"/>
        <v>327.77888126134968</v>
      </c>
      <c r="BG174" s="80">
        <f t="shared" si="110"/>
        <v>334.98168449801807</v>
      </c>
      <c r="BH174" s="80">
        <f t="shared" si="110"/>
        <v>342.34276631037295</v>
      </c>
      <c r="BI174" s="80">
        <f t="shared" si="110"/>
        <v>349.81890571873168</v>
      </c>
      <c r="BJ174" s="80">
        <f t="shared" si="110"/>
        <v>357.45831032780029</v>
      </c>
      <c r="BK174" s="80">
        <f t="shared" si="110"/>
        <v>365.26454555072939</v>
      </c>
      <c r="BL174" s="80">
        <f t="shared" si="110"/>
        <v>373.24125466276689</v>
      </c>
      <c r="BM174" s="80">
        <f t="shared" si="110"/>
        <v>381.39216050162366</v>
      </c>
      <c r="BN174" s="80">
        <f t="shared" si="110"/>
        <v>389.66173081055445</v>
      </c>
      <c r="BO174" s="80">
        <f t="shared" si="110"/>
        <v>398.11060683202118</v>
      </c>
      <c r="BP174" s="80">
        <f t="shared" ref="BP174:CP174" si="111">GDP_household_in</f>
        <v>406.74267637849124</v>
      </c>
      <c r="BQ174" s="80">
        <f t="shared" si="111"/>
        <v>415.56191156028069</v>
      </c>
      <c r="BR174" s="80">
        <f t="shared" si="111"/>
        <v>424.57237061334968</v>
      </c>
      <c r="BS174" s="80">
        <f t="shared" si="111"/>
        <v>433.7658083032353</v>
      </c>
      <c r="BT174" s="80">
        <f t="shared" si="111"/>
        <v>443.15831522703206</v>
      </c>
      <c r="BU174" s="80">
        <f t="shared" si="111"/>
        <v>452.75420191157724</v>
      </c>
      <c r="BV174" s="80">
        <f t="shared" si="111"/>
        <v>462.55787222129368</v>
      </c>
      <c r="BW174" s="80">
        <f t="shared" si="111"/>
        <v>472.573825379266</v>
      </c>
      <c r="BX174" s="80">
        <f t="shared" si="111"/>
        <v>482.84743648087533</v>
      </c>
      <c r="BY174" s="80">
        <f t="shared" si="111"/>
        <v>493.34439276031458</v>
      </c>
      <c r="BZ174" s="80">
        <f t="shared" si="111"/>
        <v>504.0695496737585</v>
      </c>
      <c r="CA174" s="80">
        <f t="shared" si="111"/>
        <v>515.02786823352096</v>
      </c>
      <c r="CB174" s="80">
        <f t="shared" si="111"/>
        <v>526.22441730281321</v>
      </c>
      <c r="CC174" s="80">
        <f t="shared" si="111"/>
        <v>537.69770176158909</v>
      </c>
      <c r="CD174" s="80">
        <f t="shared" si="111"/>
        <v>549.44124764592959</v>
      </c>
      <c r="CE174" s="80">
        <f t="shared" si="111"/>
        <v>561.44127755370152</v>
      </c>
      <c r="CF174" s="80">
        <f t="shared" si="111"/>
        <v>573.70339320477058</v>
      </c>
      <c r="CG174" s="80">
        <f t="shared" si="111"/>
        <v>586.23331866294063</v>
      </c>
      <c r="CH174" s="80">
        <f t="shared" si="111"/>
        <v>599.03690300799701</v>
      </c>
      <c r="CI174" s="80">
        <f t="shared" si="111"/>
        <v>612.12494379692089</v>
      </c>
      <c r="CJ174" s="80">
        <f t="shared" si="111"/>
        <v>625.49893827389371</v>
      </c>
      <c r="CK174" s="80">
        <f t="shared" si="111"/>
        <v>639.16513408996025</v>
      </c>
      <c r="CL174" s="80">
        <f t="shared" si="111"/>
        <v>653.12991539779182</v>
      </c>
      <c r="CM174" s="80">
        <f t="shared" si="111"/>
        <v>667.3998058340386</v>
      </c>
      <c r="CN174" s="80">
        <f t="shared" si="111"/>
        <v>681.98147156684104</v>
      </c>
      <c r="CO174" s="80">
        <f t="shared" si="111"/>
        <v>696.88172440992503</v>
      </c>
      <c r="CP174" s="80">
        <f t="shared" si="111"/>
        <v>712.10752500473575</v>
      </c>
      <c r="CQ174" s="52" t="s">
        <v>144</v>
      </c>
    </row>
    <row r="175" spans="1:95" outlineLevel="1" x14ac:dyDescent="0.25">
      <c r="B175" t="s">
        <v>315</v>
      </c>
      <c r="D175" s="80">
        <f t="shared" ref="D175:BO175" si="112">GDP_capita_in</f>
        <v>135.2046936336709</v>
      </c>
      <c r="E175" s="80">
        <f t="shared" si="112"/>
        <v>136.10524073861333</v>
      </c>
      <c r="F175" s="80">
        <f t="shared" si="112"/>
        <v>136.9834354963472</v>
      </c>
      <c r="G175" s="80">
        <f t="shared" si="112"/>
        <v>138.72870250660944</v>
      </c>
      <c r="H175" s="80">
        <f t="shared" si="112"/>
        <v>141.90126968305941</v>
      </c>
      <c r="I175" s="80">
        <f t="shared" si="112"/>
        <v>143.94373934216705</v>
      </c>
      <c r="J175" s="80">
        <f t="shared" si="112"/>
        <v>145.75834713876552</v>
      </c>
      <c r="K175" s="80">
        <f t="shared" si="112"/>
        <v>147.93285742951994</v>
      </c>
      <c r="L175" s="80">
        <f t="shared" si="112"/>
        <v>150.00150313947708</v>
      </c>
      <c r="M175" s="80">
        <f t="shared" si="112"/>
        <v>152.1425291793804</v>
      </c>
      <c r="N175" s="80">
        <f t="shared" si="112"/>
        <v>154.34157883388107</v>
      </c>
      <c r="O175" s="80">
        <f t="shared" si="112"/>
        <v>157.05336115630223</v>
      </c>
      <c r="P175" s="80">
        <f t="shared" si="112"/>
        <v>159.83124524328503</v>
      </c>
      <c r="Q175" s="80">
        <f t="shared" si="112"/>
        <v>162.6789956065179</v>
      </c>
      <c r="R175" s="80">
        <f t="shared" si="112"/>
        <v>165.76232449528331</v>
      </c>
      <c r="S175" s="80">
        <f t="shared" si="112"/>
        <v>168.92927277942547</v>
      </c>
      <c r="T175" s="80">
        <f t="shared" si="112"/>
        <v>172.1839660412812</v>
      </c>
      <c r="U175" s="80">
        <f t="shared" si="112"/>
        <v>175.52997914211562</v>
      </c>
      <c r="V175" s="80">
        <f t="shared" si="112"/>
        <v>178.97028365221192</v>
      </c>
      <c r="W175" s="80">
        <f t="shared" si="112"/>
        <v>182.50790168272997</v>
      </c>
      <c r="X175" s="80">
        <f t="shared" si="112"/>
        <v>186.14525133482013</v>
      </c>
      <c r="Y175" s="80">
        <f t="shared" si="112"/>
        <v>189.88457068793653</v>
      </c>
      <c r="Z175" s="80">
        <f t="shared" si="112"/>
        <v>193.72761566322478</v>
      </c>
      <c r="AA175" s="80">
        <f t="shared" si="112"/>
        <v>197.67557870720654</v>
      </c>
      <c r="AB175" s="80">
        <f t="shared" si="112"/>
        <v>201.92559060531701</v>
      </c>
      <c r="AC175" s="80">
        <f t="shared" si="112"/>
        <v>206.08815054234958</v>
      </c>
      <c r="AD175" s="80">
        <f t="shared" si="112"/>
        <v>210.3559841953782</v>
      </c>
      <c r="AE175" s="80">
        <f t="shared" si="112"/>
        <v>214.72873932630336</v>
      </c>
      <c r="AF175" s="80">
        <f t="shared" si="112"/>
        <v>219.22166647411984</v>
      </c>
      <c r="AG175" s="80">
        <f t="shared" si="112"/>
        <v>223.80860243705311</v>
      </c>
      <c r="AH175" s="80">
        <f t="shared" si="112"/>
        <v>228.49151423059863</v>
      </c>
      <c r="AI175" s="80">
        <f t="shared" si="112"/>
        <v>233.27241002756193</v>
      </c>
      <c r="AJ175" s="80">
        <f t="shared" si="112"/>
        <v>238.19634004010339</v>
      </c>
      <c r="AK175" s="80">
        <f t="shared" si="112"/>
        <v>243.22420470469197</v>
      </c>
      <c r="AL175" s="80">
        <f t="shared" si="112"/>
        <v>248.35819788108373</v>
      </c>
      <c r="AM175" s="80">
        <f t="shared" si="112"/>
        <v>253.60055973717672</v>
      </c>
      <c r="AN175" s="80">
        <f t="shared" si="112"/>
        <v>259.20621536329293</v>
      </c>
      <c r="AO175" s="80">
        <f t="shared" si="112"/>
        <v>264.74734580861281</v>
      </c>
      <c r="AP175" s="80">
        <f t="shared" si="112"/>
        <v>270.40693069210664</v>
      </c>
      <c r="AQ175" s="80">
        <f t="shared" si="112"/>
        <v>276.18750225048342</v>
      </c>
      <c r="AR175" s="80">
        <f t="shared" si="112"/>
        <v>282.09164685284981</v>
      </c>
      <c r="AS175" s="80">
        <f t="shared" si="112"/>
        <v>287.84091151776084</v>
      </c>
      <c r="AT175" s="80">
        <f t="shared" si="112"/>
        <v>293.80063362797597</v>
      </c>
      <c r="AU175" s="80">
        <f t="shared" si="112"/>
        <v>299.88375128833616</v>
      </c>
      <c r="AV175" s="80">
        <f t="shared" si="112"/>
        <v>306.09281939343447</v>
      </c>
      <c r="AW175" s="80">
        <f t="shared" si="112"/>
        <v>312.43044573674382</v>
      </c>
      <c r="AX175" s="80">
        <f t="shared" si="112"/>
        <v>318.89929210588389</v>
      </c>
      <c r="AY175" s="80">
        <f t="shared" si="112"/>
        <v>325.57854719707188</v>
      </c>
      <c r="AZ175" s="80">
        <f t="shared" si="112"/>
        <v>332.72230451528753</v>
      </c>
      <c r="BA175" s="80">
        <f t="shared" si="112"/>
        <v>340.02280824404193</v>
      </c>
      <c r="BB175" s="80">
        <f t="shared" si="112"/>
        <v>347.82250596152153</v>
      </c>
      <c r="BC175" s="80">
        <f t="shared" si="112"/>
        <v>355.80111898411917</v>
      </c>
      <c r="BD175" s="80">
        <f t="shared" si="112"/>
        <v>363.98392228162442</v>
      </c>
      <c r="BE175" s="80">
        <f t="shared" si="112"/>
        <v>372.34522566394998</v>
      </c>
      <c r="BF175" s="80">
        <f t="shared" si="112"/>
        <v>380.52735559938014</v>
      </c>
      <c r="BG175" s="80">
        <f t="shared" si="112"/>
        <v>388.88928440334928</v>
      </c>
      <c r="BH175" s="80">
        <f t="shared" si="112"/>
        <v>397.4349630804715</v>
      </c>
      <c r="BI175" s="80">
        <f t="shared" si="112"/>
        <v>406.11421522816175</v>
      </c>
      <c r="BJ175" s="80">
        <f t="shared" si="112"/>
        <v>414.98300635666868</v>
      </c>
      <c r="BK175" s="80">
        <f t="shared" si="112"/>
        <v>424.04547565041025</v>
      </c>
      <c r="BL175" s="80">
        <f t="shared" si="112"/>
        <v>433.30585268601584</v>
      </c>
      <c r="BM175" s="80">
        <f t="shared" si="112"/>
        <v>442.76845940632694</v>
      </c>
      <c r="BN175" s="80">
        <f t="shared" si="112"/>
        <v>452.36882691472516</v>
      </c>
      <c r="BO175" s="80">
        <f t="shared" si="112"/>
        <v>462.17735526732599</v>
      </c>
      <c r="BP175" s="80">
        <f t="shared" ref="BP175:CP175" si="113">GDP_capita_in</f>
        <v>472.19855793062129</v>
      </c>
      <c r="BQ175" s="80">
        <f t="shared" si="113"/>
        <v>482.4370462347519</v>
      </c>
      <c r="BR175" s="80">
        <f t="shared" si="113"/>
        <v>492.89753149544509</v>
      </c>
      <c r="BS175" s="80">
        <f t="shared" si="113"/>
        <v>503.57044159733329</v>
      </c>
      <c r="BT175" s="80">
        <f t="shared" si="113"/>
        <v>514.47445654914304</v>
      </c>
      <c r="BU175" s="80">
        <f t="shared" si="113"/>
        <v>525.61458055789456</v>
      </c>
      <c r="BV175" s="80">
        <f t="shared" si="113"/>
        <v>536.99592618873169</v>
      </c>
      <c r="BW175" s="80">
        <f t="shared" si="113"/>
        <v>548.62371671124413</v>
      </c>
      <c r="BX175" s="80">
        <f t="shared" si="113"/>
        <v>560.55062929910764</v>
      </c>
      <c r="BY175" s="80">
        <f t="shared" si="113"/>
        <v>572.73682933581006</v>
      </c>
      <c r="BZ175" s="80">
        <f t="shared" si="113"/>
        <v>585.18795365155609</v>
      </c>
      <c r="CA175" s="80">
        <f t="shared" si="113"/>
        <v>597.90976161952324</v>
      </c>
      <c r="CB175" s="80">
        <f t="shared" si="113"/>
        <v>610.90813781990857</v>
      </c>
      <c r="CC175" s="80">
        <f t="shared" si="113"/>
        <v>624.22778360775408</v>
      </c>
      <c r="CD175" s="80">
        <f t="shared" si="113"/>
        <v>637.8611831835035</v>
      </c>
      <c r="CE175" s="80">
        <f t="shared" si="113"/>
        <v>651.79234198893312</v>
      </c>
      <c r="CF175" s="80">
        <f t="shared" si="113"/>
        <v>666.02776321192107</v>
      </c>
      <c r="CG175" s="80">
        <f t="shared" si="113"/>
        <v>680.57409207272747</v>
      </c>
      <c r="CH175" s="80">
        <f t="shared" si="113"/>
        <v>695.43811892604151</v>
      </c>
      <c r="CI175" s="80">
        <f t="shared" si="113"/>
        <v>710.6323789473729</v>
      </c>
      <c r="CJ175" s="80">
        <f t="shared" si="113"/>
        <v>726.15861032792793</v>
      </c>
      <c r="CK175" s="80">
        <f t="shared" si="113"/>
        <v>742.02406613453513</v>
      </c>
      <c r="CL175" s="80">
        <f t="shared" si="113"/>
        <v>758.23615790244799</v>
      </c>
      <c r="CM175" s="80">
        <f t="shared" si="113"/>
        <v>774.80245909763778</v>
      </c>
      <c r="CN175" s="80">
        <f t="shared" si="113"/>
        <v>791.73070865473233</v>
      </c>
      <c r="CO175" s="80">
        <f t="shared" si="113"/>
        <v>809.02881459225318</v>
      </c>
      <c r="CP175" s="80">
        <f t="shared" si="113"/>
        <v>826.70485770684036</v>
      </c>
      <c r="CQ175" s="52" t="s">
        <v>145</v>
      </c>
    </row>
    <row r="176" spans="1:95" outlineLevel="1" x14ac:dyDescent="0.25">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52"/>
    </row>
    <row r="177" spans="1:95" ht="30" outlineLevel="1" x14ac:dyDescent="0.25">
      <c r="B177" s="109" t="s">
        <v>209</v>
      </c>
      <c r="C177">
        <f>Income_base_values_in</f>
        <v>2010</v>
      </c>
      <c r="D177" s="88" t="s">
        <v>205</v>
      </c>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52"/>
    </row>
    <row r="178" spans="1:95" outlineLevel="1" x14ac:dyDescent="0.25">
      <c r="B178" t="s">
        <v>202</v>
      </c>
      <c r="C178" s="53">
        <f>HLOOKUP(Income_base_values,Uprating_table,4,0)</f>
        <v>135.2046936336709</v>
      </c>
      <c r="D178" s="88" t="s">
        <v>285</v>
      </c>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52"/>
    </row>
    <row r="179" spans="1:95" outlineLevel="1" x14ac:dyDescent="0.25">
      <c r="B179" t="s">
        <v>217</v>
      </c>
      <c r="C179" s="53">
        <f>HLOOKUP(Income_base_values,Uprating_table,3,0)</f>
        <v>120.72854081974981</v>
      </c>
      <c r="D179" s="88" t="s">
        <v>286</v>
      </c>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52"/>
    </row>
    <row r="180" spans="1:95" outlineLevel="1" x14ac:dyDescent="0.25">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52"/>
    </row>
    <row r="181" spans="1:95" ht="30" outlineLevel="1" x14ac:dyDescent="0.25">
      <c r="B181" s="109" t="s">
        <v>357</v>
      </c>
      <c r="C181">
        <f>Price_base_values_in</f>
        <v>2010</v>
      </c>
      <c r="D181" s="52" t="s">
        <v>206</v>
      </c>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row>
    <row r="182" spans="1:95" outlineLevel="1" x14ac:dyDescent="0.25">
      <c r="B182" t="s">
        <v>166</v>
      </c>
      <c r="C182" s="53">
        <f>HLOOKUP(Price_base_values,Uprating_table,2,0)</f>
        <v>100</v>
      </c>
      <c r="D182" s="52" t="s">
        <v>287</v>
      </c>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row>
    <row r="183" spans="1:95" outlineLevel="1" x14ac:dyDescent="0.25">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row>
    <row r="184" spans="1:95" outlineLevel="1" x14ac:dyDescent="0.25">
      <c r="B184" t="s">
        <v>161</v>
      </c>
      <c r="C184">
        <f>Price_base_outputs_in</f>
        <v>2010</v>
      </c>
      <c r="D184" s="52" t="s">
        <v>162</v>
      </c>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row>
    <row r="185" spans="1:95" outlineLevel="1" x14ac:dyDescent="0.25">
      <c r="B185" t="s">
        <v>210</v>
      </c>
      <c r="C185" s="53">
        <f>HLOOKUP(Price_base_outputs,Uprating_table,2,0)</f>
        <v>100</v>
      </c>
      <c r="D185" s="52" t="s">
        <v>163</v>
      </c>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row>
    <row r="186" spans="1:95" outlineLevel="1" x14ac:dyDescent="0.25">
      <c r="D186" s="5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row>
    <row r="187" spans="1:95" outlineLevel="1" x14ac:dyDescent="0.25">
      <c r="B187" t="s">
        <v>164</v>
      </c>
      <c r="C187" s="53">
        <f>GDP_deflator_outputs/GDP_deflator_base_values</f>
        <v>1</v>
      </c>
      <c r="D187" s="99" t="s">
        <v>165</v>
      </c>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row>
    <row r="188" spans="1:95" outlineLevel="1" x14ac:dyDescent="0.25">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row>
    <row r="189" spans="1:95" outlineLevel="1" x14ac:dyDescent="0.25">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row>
    <row r="190" spans="1:95" ht="15.75" outlineLevel="1" x14ac:dyDescent="0.25">
      <c r="A190" s="84"/>
      <c r="B190" s="86" t="s">
        <v>302</v>
      </c>
      <c r="C190" s="84"/>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84"/>
    </row>
    <row r="191" spans="1:95" outlineLevel="1" x14ac:dyDescent="0.25">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row>
    <row r="192" spans="1:95" outlineLevel="1" x14ac:dyDescent="0.25">
      <c r="B192" t="s">
        <v>156</v>
      </c>
      <c r="C192" s="57">
        <f>NOx_damage_base_value_low_in</f>
        <v>744</v>
      </c>
      <c r="D192" s="95" t="s">
        <v>274</v>
      </c>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row>
    <row r="193" spans="1:95" outlineLevel="1" x14ac:dyDescent="0.25">
      <c r="B193" t="s">
        <v>155</v>
      </c>
      <c r="C193" s="57">
        <f>NOx_damage_base_value_central_in</f>
        <v>955</v>
      </c>
      <c r="D193" s="95" t="s">
        <v>275</v>
      </c>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row>
    <row r="194" spans="1:95" outlineLevel="1" x14ac:dyDescent="0.25">
      <c r="B194" t="s">
        <v>157</v>
      </c>
      <c r="C194" s="57">
        <f>NOx_damage_base_value_high_in</f>
        <v>1085</v>
      </c>
      <c r="D194" s="95" t="s">
        <v>273</v>
      </c>
    </row>
    <row r="195" spans="1:95" outlineLevel="1" x14ac:dyDescent="0.25"/>
    <row r="196" spans="1:95" outlineLevel="1" x14ac:dyDescent="0.25">
      <c r="B196" t="s">
        <v>101</v>
      </c>
      <c r="D196" s="91">
        <f t="shared" ref="D196:BO196" si="114">NOx_damage_base_value_low*(GDP_capita/GDP_capita_base_values)*(Price_adjustment)</f>
        <v>744</v>
      </c>
      <c r="E196" s="91">
        <f t="shared" si="114"/>
        <v>748.95550138142767</v>
      </c>
      <c r="F196" s="91">
        <f t="shared" si="114"/>
        <v>753.78800299209138</v>
      </c>
      <c r="G196" s="91">
        <f t="shared" si="114"/>
        <v>763.39180165275957</v>
      </c>
      <c r="H196" s="91">
        <f t="shared" si="114"/>
        <v>780.84970134427556</v>
      </c>
      <c r="I196" s="91">
        <f t="shared" si="114"/>
        <v>792.0889370951686</v>
      </c>
      <c r="J196" s="91">
        <f t="shared" si="114"/>
        <v>802.07430198440227</v>
      </c>
      <c r="K196" s="91">
        <f t="shared" si="114"/>
        <v>814.04012663768481</v>
      </c>
      <c r="L196" s="91">
        <f t="shared" si="114"/>
        <v>825.4234031116373</v>
      </c>
      <c r="M196" s="91">
        <f t="shared" si="114"/>
        <v>837.20497171608235</v>
      </c>
      <c r="N196" s="91">
        <f t="shared" si="114"/>
        <v>849.30583078375184</v>
      </c>
      <c r="O196" s="91">
        <f t="shared" si="114"/>
        <v>864.22813853549178</v>
      </c>
      <c r="P196" s="91">
        <f t="shared" si="114"/>
        <v>879.51418893189975</v>
      </c>
      <c r="Q196" s="91">
        <f t="shared" si="114"/>
        <v>895.18469720571636</v>
      </c>
      <c r="R196" s="91">
        <f t="shared" si="114"/>
        <v>912.15153934402929</v>
      </c>
      <c r="S196" s="91">
        <f t="shared" si="114"/>
        <v>929.57851957731748</v>
      </c>
      <c r="T196" s="91">
        <f t="shared" si="114"/>
        <v>947.48834002616627</v>
      </c>
      <c r="U196" s="91">
        <f t="shared" si="114"/>
        <v>965.90067232112187</v>
      </c>
      <c r="V196" s="91">
        <f t="shared" si="114"/>
        <v>984.83186832269485</v>
      </c>
      <c r="W196" s="91">
        <f t="shared" si="114"/>
        <v>1004.2985580060918</v>
      </c>
      <c r="X196" s="91">
        <f t="shared" si="114"/>
        <v>1024.3140476198425</v>
      </c>
      <c r="Y196" s="91">
        <f t="shared" si="114"/>
        <v>1044.8906527949291</v>
      </c>
      <c r="Z196" s="91">
        <f t="shared" si="114"/>
        <v>1066.0380359572428</v>
      </c>
      <c r="AA196" s="91">
        <f t="shared" si="114"/>
        <v>1087.7627588628011</v>
      </c>
      <c r="AB196" s="91">
        <f t="shared" si="114"/>
        <v>1111.1495863997318</v>
      </c>
      <c r="AC196" s="91">
        <f t="shared" si="114"/>
        <v>1134.0551861235342</v>
      </c>
      <c r="AD196" s="91">
        <f t="shared" si="114"/>
        <v>1157.5400826350156</v>
      </c>
      <c r="AE196" s="91">
        <f t="shared" si="114"/>
        <v>1181.6023376497935</v>
      </c>
      <c r="AF196" s="91">
        <f t="shared" si="114"/>
        <v>1206.3258713388859</v>
      </c>
      <c r="AG196" s="91">
        <f t="shared" si="114"/>
        <v>1231.5667136847055</v>
      </c>
      <c r="AH196" s="91">
        <f t="shared" si="114"/>
        <v>1257.3356887162811</v>
      </c>
      <c r="AI196" s="91">
        <f t="shared" si="114"/>
        <v>1283.6438469417501</v>
      </c>
      <c r="AJ196" s="91">
        <f t="shared" si="114"/>
        <v>1310.739089206465</v>
      </c>
      <c r="AK196" s="91">
        <f t="shared" si="114"/>
        <v>1338.4062597012201</v>
      </c>
      <c r="AL196" s="91">
        <f t="shared" si="114"/>
        <v>1366.6574307262786</v>
      </c>
      <c r="AM196" s="91">
        <f t="shared" si="114"/>
        <v>1395.5049294048442</v>
      </c>
      <c r="AN196" s="91">
        <f t="shared" si="114"/>
        <v>1426.3515492502356</v>
      </c>
      <c r="AO196" s="91">
        <f t="shared" si="114"/>
        <v>1456.8431020249338</v>
      </c>
      <c r="AP196" s="91">
        <f t="shared" si="114"/>
        <v>1487.9864820375251</v>
      </c>
      <c r="AQ196" s="91">
        <f t="shared" si="114"/>
        <v>1519.7956235979873</v>
      </c>
      <c r="AR196" s="91">
        <f t="shared" si="114"/>
        <v>1552.2847588942982</v>
      </c>
      <c r="AS196" s="91">
        <f t="shared" si="114"/>
        <v>1583.9216258974757</v>
      </c>
      <c r="AT196" s="91">
        <f t="shared" si="114"/>
        <v>1616.7165913001841</v>
      </c>
      <c r="AU196" s="91">
        <f t="shared" si="114"/>
        <v>1650.1905737313746</v>
      </c>
      <c r="AV196" s="91">
        <f t="shared" si="114"/>
        <v>1684.3576321820931</v>
      </c>
      <c r="AW196" s="91">
        <f t="shared" si="114"/>
        <v>1719.2321167336258</v>
      </c>
      <c r="AX196" s="91">
        <f t="shared" si="114"/>
        <v>1754.8286745844964</v>
      </c>
      <c r="AY196" s="91">
        <f t="shared" si="114"/>
        <v>1791.5830627221453</v>
      </c>
      <c r="AZ196" s="91">
        <f t="shared" si="114"/>
        <v>1830.8934986390598</v>
      </c>
      <c r="BA196" s="91">
        <f t="shared" si="114"/>
        <v>1871.0664736166134</v>
      </c>
      <c r="BB196" s="91">
        <f t="shared" si="114"/>
        <v>1913.9863970737654</v>
      </c>
      <c r="BC196" s="91">
        <f t="shared" si="114"/>
        <v>1957.8908498651465</v>
      </c>
      <c r="BD196" s="91">
        <f t="shared" si="114"/>
        <v>2002.9189142742043</v>
      </c>
      <c r="BE196" s="91">
        <f t="shared" si="114"/>
        <v>2048.9292231567133</v>
      </c>
      <c r="BF196" s="91">
        <f t="shared" si="114"/>
        <v>2093.9535822107991</v>
      </c>
      <c r="BG196" s="91">
        <f t="shared" si="114"/>
        <v>2139.9673326432303</v>
      </c>
      <c r="BH196" s="91">
        <f t="shared" si="114"/>
        <v>2186.992215913966</v>
      </c>
      <c r="BI196" s="91">
        <f t="shared" si="114"/>
        <v>2234.7521229433578</v>
      </c>
      <c r="BJ196" s="91">
        <f t="shared" si="114"/>
        <v>2283.5550189248174</v>
      </c>
      <c r="BK196" s="91">
        <f t="shared" si="114"/>
        <v>2333.4236808280207</v>
      </c>
      <c r="BL196" s="91">
        <f t="shared" si="114"/>
        <v>2384.3813830299714</v>
      </c>
      <c r="BM196" s="91">
        <f t="shared" si="114"/>
        <v>2436.4519081774665</v>
      </c>
      <c r="BN196" s="91">
        <f t="shared" si="114"/>
        <v>2489.2804989185611</v>
      </c>
      <c r="BO196" s="91">
        <f t="shared" si="114"/>
        <v>2543.2545503971828</v>
      </c>
      <c r="BP196" s="91">
        <f t="shared" ref="BP196:CP196" si="115">NOx_damage_base_value_low*(GDP_capita/GDP_capita_base_values)*(Price_adjustment)</f>
        <v>2598.3988991702563</v>
      </c>
      <c r="BQ196" s="91">
        <f t="shared" si="115"/>
        <v>2654.7389203156181</v>
      </c>
      <c r="BR196" s="91">
        <f t="shared" si="115"/>
        <v>2712.3005391085444</v>
      </c>
      <c r="BS196" s="91">
        <f t="shared" si="115"/>
        <v>2771.0310824232574</v>
      </c>
      <c r="BT196" s="91">
        <f t="shared" si="115"/>
        <v>2831.0333420055099</v>
      </c>
      <c r="BU196" s="91">
        <f t="shared" si="115"/>
        <v>2892.3348548432791</v>
      </c>
      <c r="BV196" s="91">
        <f t="shared" si="115"/>
        <v>2954.9637541941079</v>
      </c>
      <c r="BW196" s="91">
        <f t="shared" si="115"/>
        <v>3018.9487824963712</v>
      </c>
      <c r="BX196" s="91">
        <f t="shared" si="115"/>
        <v>3084.579809991711</v>
      </c>
      <c r="BY196" s="91">
        <f t="shared" si="115"/>
        <v>3151.6376360452341</v>
      </c>
      <c r="BZ196" s="91">
        <f t="shared" si="115"/>
        <v>3220.1532788232457</v>
      </c>
      <c r="CA196" s="91">
        <f t="shared" si="115"/>
        <v>3290.1584308175429</v>
      </c>
      <c r="CB196" s="91">
        <f t="shared" si="115"/>
        <v>3361.6854735050483</v>
      </c>
      <c r="CC196" s="91">
        <f t="shared" si="115"/>
        <v>3434.9803880514851</v>
      </c>
      <c r="CD196" s="91">
        <f t="shared" si="115"/>
        <v>3510.0018167589833</v>
      </c>
      <c r="CE196" s="91">
        <f t="shared" si="115"/>
        <v>3586.6617452916598</v>
      </c>
      <c r="CF196" s="91">
        <f t="shared" si="115"/>
        <v>3664.9959591807069</v>
      </c>
      <c r="CG196" s="91">
        <f t="shared" si="115"/>
        <v>3745.0410255284978</v>
      </c>
      <c r="CH196" s="91">
        <f t="shared" si="115"/>
        <v>3826.8343100784332</v>
      </c>
      <c r="CI196" s="91">
        <f t="shared" si="115"/>
        <v>3910.4447909874725</v>
      </c>
      <c r="CJ196" s="91">
        <f t="shared" si="115"/>
        <v>3995.8820331177726</v>
      </c>
      <c r="CK196" s="91">
        <f t="shared" si="115"/>
        <v>4083.1859484100746</v>
      </c>
      <c r="CL196" s="91">
        <f t="shared" si="115"/>
        <v>4172.3973208200287</v>
      </c>
      <c r="CM196" s="91">
        <f t="shared" si="115"/>
        <v>4263.5578253703807</v>
      </c>
      <c r="CN196" s="91">
        <f t="shared" si="115"/>
        <v>4356.710047619431</v>
      </c>
      <c r="CO196" s="91">
        <f t="shared" si="115"/>
        <v>4451.8975035548392</v>
      </c>
      <c r="CP196" s="91">
        <f t="shared" si="115"/>
        <v>4549.1646599220931</v>
      </c>
      <c r="CQ196" s="88" t="s">
        <v>140</v>
      </c>
    </row>
    <row r="197" spans="1:95" outlineLevel="1" x14ac:dyDescent="0.25">
      <c r="B197" t="s">
        <v>100</v>
      </c>
      <c r="D197" s="91">
        <f t="shared" ref="D197:BO197" si="116">NOx_damage_base_value_central*(GDP_capita/GDP_capita_base_values)*(Price_adjustment)</f>
        <v>955</v>
      </c>
      <c r="E197" s="91">
        <f t="shared" si="116"/>
        <v>961.3608922301928</v>
      </c>
      <c r="F197" s="91">
        <f t="shared" si="116"/>
        <v>967.56390169011729</v>
      </c>
      <c r="G197" s="91">
        <f t="shared" si="116"/>
        <v>979.89135830428143</v>
      </c>
      <c r="H197" s="91">
        <f t="shared" si="116"/>
        <v>1002.3003558921816</v>
      </c>
      <c r="I197" s="91">
        <f t="shared" si="116"/>
        <v>1016.7270630724274</v>
      </c>
      <c r="J197" s="91">
        <f t="shared" si="116"/>
        <v>1029.5442989181508</v>
      </c>
      <c r="K197" s="91">
        <f t="shared" si="116"/>
        <v>1044.9036571760605</v>
      </c>
      <c r="L197" s="91">
        <f t="shared" si="116"/>
        <v>1059.5152553381904</v>
      </c>
      <c r="M197" s="91">
        <f t="shared" si="116"/>
        <v>1074.6381021355626</v>
      </c>
      <c r="N197" s="91">
        <f t="shared" si="116"/>
        <v>1090.1707908581761</v>
      </c>
      <c r="O197" s="91">
        <f t="shared" si="116"/>
        <v>1109.3250971792938</v>
      </c>
      <c r="P197" s="91">
        <f t="shared" si="116"/>
        <v>1128.9463043413498</v>
      </c>
      <c r="Q197" s="91">
        <f t="shared" si="116"/>
        <v>1149.0610024616385</v>
      </c>
      <c r="R197" s="91">
        <f t="shared" si="116"/>
        <v>1170.8396775182098</v>
      </c>
      <c r="S197" s="91">
        <f t="shared" si="116"/>
        <v>1193.2089868230353</v>
      </c>
      <c r="T197" s="91">
        <f t="shared" si="116"/>
        <v>1216.1980708669203</v>
      </c>
      <c r="U197" s="91">
        <f t="shared" si="116"/>
        <v>1239.832180197139</v>
      </c>
      <c r="V197" s="91">
        <f t="shared" si="116"/>
        <v>1264.1323040970074</v>
      </c>
      <c r="W197" s="91">
        <f t="shared" si="116"/>
        <v>1289.1197888384645</v>
      </c>
      <c r="X197" s="91">
        <f t="shared" si="116"/>
        <v>1314.8117143507386</v>
      </c>
      <c r="Y197" s="91">
        <f t="shared" si="116"/>
        <v>1341.2238890042438</v>
      </c>
      <c r="Z197" s="91">
        <f t="shared" si="116"/>
        <v>1368.3687155096327</v>
      </c>
      <c r="AA197" s="91">
        <f t="shared" si="116"/>
        <v>1396.2546165510419</v>
      </c>
      <c r="AB197" s="91">
        <f t="shared" si="116"/>
        <v>1426.2739986716986</v>
      </c>
      <c r="AC197" s="91">
        <f t="shared" si="116"/>
        <v>1455.6756757365258</v>
      </c>
      <c r="AD197" s="91">
        <f t="shared" si="116"/>
        <v>1485.820939403817</v>
      </c>
      <c r="AE197" s="91">
        <f t="shared" si="116"/>
        <v>1516.7073016875711</v>
      </c>
      <c r="AF197" s="91">
        <f t="shared" si="116"/>
        <v>1548.4424826997795</v>
      </c>
      <c r="AG197" s="91">
        <f t="shared" si="116"/>
        <v>1580.8416822162551</v>
      </c>
      <c r="AH197" s="91">
        <f t="shared" si="116"/>
        <v>1613.918793983936</v>
      </c>
      <c r="AI197" s="91">
        <f t="shared" si="116"/>
        <v>1647.6880024588324</v>
      </c>
      <c r="AJ197" s="91">
        <f t="shared" si="116"/>
        <v>1682.4675136991586</v>
      </c>
      <c r="AK197" s="91">
        <f t="shared" si="116"/>
        <v>1717.9811532455176</v>
      </c>
      <c r="AL197" s="91">
        <f t="shared" si="116"/>
        <v>1754.2444171284892</v>
      </c>
      <c r="AM197" s="91">
        <f t="shared" si="116"/>
        <v>1791.2731284699275</v>
      </c>
      <c r="AN197" s="91">
        <f t="shared" si="116"/>
        <v>1830.8679160402889</v>
      </c>
      <c r="AO197" s="91">
        <f t="shared" si="116"/>
        <v>1870.0069387551232</v>
      </c>
      <c r="AP197" s="91">
        <f t="shared" si="116"/>
        <v>1909.9826483142963</v>
      </c>
      <c r="AQ197" s="91">
        <f t="shared" si="116"/>
        <v>1950.8129308280616</v>
      </c>
      <c r="AR197" s="91">
        <f t="shared" si="116"/>
        <v>1992.5160547635144</v>
      </c>
      <c r="AS197" s="91">
        <f t="shared" si="116"/>
        <v>2033.1252052850662</v>
      </c>
      <c r="AT197" s="91">
        <f t="shared" si="116"/>
        <v>2075.2208934027899</v>
      </c>
      <c r="AU197" s="91">
        <f t="shared" si="116"/>
        <v>2118.188169238525</v>
      </c>
      <c r="AV197" s="91">
        <f t="shared" si="116"/>
        <v>2162.0450789434126</v>
      </c>
      <c r="AW197" s="91">
        <f t="shared" si="116"/>
        <v>2206.8100423126516</v>
      </c>
      <c r="AX197" s="91">
        <f t="shared" si="116"/>
        <v>2252.501860521766</v>
      </c>
      <c r="AY197" s="91">
        <f t="shared" si="116"/>
        <v>2299.6798721769474</v>
      </c>
      <c r="AZ197" s="91">
        <f t="shared" si="116"/>
        <v>2350.1388322584708</v>
      </c>
      <c r="BA197" s="91">
        <f t="shared" si="116"/>
        <v>2401.7049493331529</v>
      </c>
      <c r="BB197" s="91">
        <f t="shared" si="116"/>
        <v>2456.797055383664</v>
      </c>
      <c r="BC197" s="91">
        <f t="shared" si="116"/>
        <v>2513.1529054048588</v>
      </c>
      <c r="BD197" s="91">
        <f t="shared" si="116"/>
        <v>2570.9510257148727</v>
      </c>
      <c r="BE197" s="91">
        <f t="shared" si="116"/>
        <v>2630.009957143362</v>
      </c>
      <c r="BF197" s="91">
        <f t="shared" si="116"/>
        <v>2687.8033212517653</v>
      </c>
      <c r="BG197" s="91">
        <f t="shared" si="116"/>
        <v>2746.8666702611358</v>
      </c>
      <c r="BH197" s="91">
        <f t="shared" si="116"/>
        <v>2807.2279115562333</v>
      </c>
      <c r="BI197" s="91">
        <f t="shared" si="116"/>
        <v>2868.5326309286384</v>
      </c>
      <c r="BJ197" s="91">
        <f t="shared" si="116"/>
        <v>2931.1761331629041</v>
      </c>
      <c r="BK197" s="91">
        <f t="shared" si="116"/>
        <v>2995.1876548262903</v>
      </c>
      <c r="BL197" s="91">
        <f t="shared" si="116"/>
        <v>3060.5970709591702</v>
      </c>
      <c r="BM197" s="91">
        <f t="shared" si="116"/>
        <v>3127.434909018119</v>
      </c>
      <c r="BN197" s="91">
        <f t="shared" si="116"/>
        <v>3195.2458017032604</v>
      </c>
      <c r="BO197" s="91">
        <f t="shared" si="116"/>
        <v>3264.5270102544487</v>
      </c>
      <c r="BP197" s="91">
        <f t="shared" ref="BP197:CP197" si="117">NOx_damage_base_value_central*(GDP_capita/GDP_capita_base_values)*(Price_adjustment)</f>
        <v>3335.3104149295632</v>
      </c>
      <c r="BQ197" s="91">
        <f t="shared" si="117"/>
        <v>3407.6285872330855</v>
      </c>
      <c r="BR197" s="91">
        <f t="shared" si="117"/>
        <v>3481.5148049041127</v>
      </c>
      <c r="BS197" s="91">
        <f t="shared" si="117"/>
        <v>3556.9014566051219</v>
      </c>
      <c r="BT197" s="91">
        <f t="shared" si="117"/>
        <v>3633.9204860420186</v>
      </c>
      <c r="BU197" s="91">
        <f t="shared" si="117"/>
        <v>3712.6072397517901</v>
      </c>
      <c r="BV197" s="91">
        <f t="shared" si="117"/>
        <v>3792.9978296443187</v>
      </c>
      <c r="BW197" s="91">
        <f t="shared" si="117"/>
        <v>3875.1291495753148</v>
      </c>
      <c r="BX197" s="91">
        <f t="shared" si="117"/>
        <v>3959.3732776103284</v>
      </c>
      <c r="BY197" s="91">
        <f t="shared" si="117"/>
        <v>4045.4488473430088</v>
      </c>
      <c r="BZ197" s="91">
        <f t="shared" si="117"/>
        <v>4133.395673758333</v>
      </c>
      <c r="CA197" s="91">
        <f t="shared" si="117"/>
        <v>4223.2544374069266</v>
      </c>
      <c r="CB197" s="91">
        <f t="shared" si="117"/>
        <v>4315.0667032222054</v>
      </c>
      <c r="CC197" s="91">
        <f t="shared" si="117"/>
        <v>4409.148213157484</v>
      </c>
      <c r="CD197" s="91">
        <f t="shared" si="117"/>
        <v>4505.4458803828347</v>
      </c>
      <c r="CE197" s="91">
        <f t="shared" si="117"/>
        <v>4603.8467295074397</v>
      </c>
      <c r="CF197" s="91">
        <f t="shared" si="117"/>
        <v>4704.3966949160949</v>
      </c>
      <c r="CG197" s="91">
        <f t="shared" si="117"/>
        <v>4807.1427142200473</v>
      </c>
      <c r="CH197" s="91">
        <f t="shared" si="117"/>
        <v>4912.1327501678807</v>
      </c>
      <c r="CI197" s="91">
        <f t="shared" si="117"/>
        <v>5019.4553432702096</v>
      </c>
      <c r="CJ197" s="91">
        <f t="shared" si="117"/>
        <v>5129.1227710046678</v>
      </c>
      <c r="CK197" s="91">
        <f t="shared" si="117"/>
        <v>5241.1862644242219</v>
      </c>
      <c r="CL197" s="91">
        <f t="shared" si="117"/>
        <v>5355.698173902053</v>
      </c>
      <c r="CM197" s="91">
        <f t="shared" si="117"/>
        <v>5472.7119935869805</v>
      </c>
      <c r="CN197" s="91">
        <f t="shared" si="117"/>
        <v>5592.2823863932208</v>
      </c>
      <c r="CO197" s="91">
        <f t="shared" si="117"/>
        <v>5714.465209536118</v>
      </c>
      <c r="CP197" s="91">
        <f t="shared" si="117"/>
        <v>5839.3175406258051</v>
      </c>
      <c r="CQ197" s="88" t="s">
        <v>139</v>
      </c>
    </row>
    <row r="198" spans="1:95" outlineLevel="1" x14ac:dyDescent="0.25">
      <c r="B198" t="s">
        <v>102</v>
      </c>
      <c r="D198" s="91">
        <f t="shared" ref="D198:BO198" si="118">NOx_damage_base_value_high*(GDP_capita/GDP_capita_base_values)*(Price_adjustment)</f>
        <v>1085</v>
      </c>
      <c r="E198" s="91">
        <f t="shared" si="118"/>
        <v>1092.2267728479153</v>
      </c>
      <c r="F198" s="91">
        <f t="shared" si="118"/>
        <v>1099.2741710301332</v>
      </c>
      <c r="G198" s="91">
        <f t="shared" si="118"/>
        <v>1113.2797107436077</v>
      </c>
      <c r="H198" s="91">
        <f t="shared" si="118"/>
        <v>1138.7391477937351</v>
      </c>
      <c r="I198" s="91">
        <f t="shared" si="118"/>
        <v>1155.1296999304543</v>
      </c>
      <c r="J198" s="91">
        <f t="shared" si="118"/>
        <v>1169.69169039392</v>
      </c>
      <c r="K198" s="91">
        <f t="shared" si="118"/>
        <v>1187.1418513466238</v>
      </c>
      <c r="L198" s="91">
        <f t="shared" si="118"/>
        <v>1203.7424628711378</v>
      </c>
      <c r="M198" s="91">
        <f t="shared" si="118"/>
        <v>1220.9239170859535</v>
      </c>
      <c r="N198" s="91">
        <f t="shared" si="118"/>
        <v>1238.5710032263048</v>
      </c>
      <c r="O198" s="91">
        <f t="shared" si="118"/>
        <v>1260.3327020309255</v>
      </c>
      <c r="P198" s="91">
        <f t="shared" si="118"/>
        <v>1282.6248588590204</v>
      </c>
      <c r="Q198" s="91">
        <f t="shared" si="118"/>
        <v>1305.4776834250031</v>
      </c>
      <c r="R198" s="91">
        <f t="shared" si="118"/>
        <v>1330.2209948767095</v>
      </c>
      <c r="S198" s="91">
        <f t="shared" si="118"/>
        <v>1355.6353410502547</v>
      </c>
      <c r="T198" s="91">
        <f t="shared" si="118"/>
        <v>1381.7538292048257</v>
      </c>
      <c r="U198" s="91">
        <f t="shared" si="118"/>
        <v>1408.6051471349695</v>
      </c>
      <c r="V198" s="91">
        <f t="shared" si="118"/>
        <v>1436.2131413039299</v>
      </c>
      <c r="W198" s="91">
        <f t="shared" si="118"/>
        <v>1464.6020637588838</v>
      </c>
      <c r="X198" s="91">
        <f t="shared" si="118"/>
        <v>1493.7913194456037</v>
      </c>
      <c r="Y198" s="91">
        <f t="shared" si="118"/>
        <v>1523.7988686592716</v>
      </c>
      <c r="Z198" s="91">
        <f t="shared" si="118"/>
        <v>1554.6388024376456</v>
      </c>
      <c r="AA198" s="91">
        <f t="shared" si="118"/>
        <v>1586.3206900082516</v>
      </c>
      <c r="AB198" s="91">
        <f t="shared" si="118"/>
        <v>1620.4264801662755</v>
      </c>
      <c r="AC198" s="91">
        <f t="shared" si="118"/>
        <v>1653.8304797634876</v>
      </c>
      <c r="AD198" s="91">
        <f t="shared" si="118"/>
        <v>1688.0792871760643</v>
      </c>
      <c r="AE198" s="91">
        <f t="shared" si="118"/>
        <v>1723.1700757392823</v>
      </c>
      <c r="AF198" s="91">
        <f t="shared" si="118"/>
        <v>1759.2252290358751</v>
      </c>
      <c r="AG198" s="91">
        <f t="shared" si="118"/>
        <v>1796.0347907901958</v>
      </c>
      <c r="AH198" s="91">
        <f t="shared" si="118"/>
        <v>1833.6145460445766</v>
      </c>
      <c r="AI198" s="91">
        <f t="shared" si="118"/>
        <v>1871.9806101233855</v>
      </c>
      <c r="AJ198" s="91">
        <f t="shared" si="118"/>
        <v>1911.4945050927615</v>
      </c>
      <c r="AK198" s="91">
        <f t="shared" si="118"/>
        <v>1951.8424620642793</v>
      </c>
      <c r="AL198" s="91">
        <f t="shared" si="118"/>
        <v>1993.0420864758228</v>
      </c>
      <c r="AM198" s="91">
        <f t="shared" si="118"/>
        <v>2035.1113553820644</v>
      </c>
      <c r="AN198" s="91">
        <f t="shared" si="118"/>
        <v>2080.0960093232602</v>
      </c>
      <c r="AO198" s="91">
        <f t="shared" si="118"/>
        <v>2124.5628571196949</v>
      </c>
      <c r="AP198" s="91">
        <f t="shared" si="118"/>
        <v>2169.9802863047244</v>
      </c>
      <c r="AQ198" s="91">
        <f t="shared" si="118"/>
        <v>2216.3686177470649</v>
      </c>
      <c r="AR198" s="91">
        <f t="shared" si="118"/>
        <v>2263.7486067208515</v>
      </c>
      <c r="AS198" s="91">
        <f t="shared" si="118"/>
        <v>2309.8857044338188</v>
      </c>
      <c r="AT198" s="91">
        <f t="shared" si="118"/>
        <v>2357.7116956461018</v>
      </c>
      <c r="AU198" s="91">
        <f t="shared" si="118"/>
        <v>2406.5279200249211</v>
      </c>
      <c r="AV198" s="91">
        <f t="shared" si="118"/>
        <v>2456.3548802655523</v>
      </c>
      <c r="AW198" s="91">
        <f t="shared" si="118"/>
        <v>2507.2135035698711</v>
      </c>
      <c r="AX198" s="91">
        <f t="shared" si="118"/>
        <v>2559.1251504357238</v>
      </c>
      <c r="AY198" s="91">
        <f t="shared" si="118"/>
        <v>2612.7252998031286</v>
      </c>
      <c r="AZ198" s="91">
        <f t="shared" si="118"/>
        <v>2670.0530188486291</v>
      </c>
      <c r="BA198" s="91">
        <f t="shared" si="118"/>
        <v>2728.6386073575613</v>
      </c>
      <c r="BB198" s="91">
        <f t="shared" si="118"/>
        <v>2791.2301623992412</v>
      </c>
      <c r="BC198" s="91">
        <f t="shared" si="118"/>
        <v>2855.2574893866718</v>
      </c>
      <c r="BD198" s="91">
        <f t="shared" si="118"/>
        <v>2920.9234166498813</v>
      </c>
      <c r="BE198" s="91">
        <f t="shared" si="118"/>
        <v>2988.0217837702071</v>
      </c>
      <c r="BF198" s="91">
        <f t="shared" si="118"/>
        <v>3053.682307390749</v>
      </c>
      <c r="BG198" s="91">
        <f t="shared" si="118"/>
        <v>3120.7856934380443</v>
      </c>
      <c r="BH198" s="91">
        <f t="shared" si="118"/>
        <v>3189.3636482078668</v>
      </c>
      <c r="BI198" s="91">
        <f t="shared" si="118"/>
        <v>3259.0135126257305</v>
      </c>
      <c r="BJ198" s="91">
        <f t="shared" si="118"/>
        <v>3330.184402598692</v>
      </c>
      <c r="BK198" s="91">
        <f t="shared" si="118"/>
        <v>3402.9095345408637</v>
      </c>
      <c r="BL198" s="91">
        <f t="shared" si="118"/>
        <v>3477.2228502520416</v>
      </c>
      <c r="BM198" s="91">
        <f t="shared" si="118"/>
        <v>3553.1590327588056</v>
      </c>
      <c r="BN198" s="91">
        <f t="shared" si="118"/>
        <v>3630.2007275895685</v>
      </c>
      <c r="BO198" s="91">
        <f t="shared" si="118"/>
        <v>3708.9128859958919</v>
      </c>
      <c r="BP198" s="91">
        <f t="shared" ref="BP198:CP198" si="119">NOx_damage_base_value_high*(GDP_capita/GDP_capita_base_values)*(Price_adjustment)</f>
        <v>3789.331727956624</v>
      </c>
      <c r="BQ198" s="91">
        <f t="shared" si="119"/>
        <v>3871.4942587936102</v>
      </c>
      <c r="BR198" s="91">
        <f t="shared" si="119"/>
        <v>3955.4382861999607</v>
      </c>
      <c r="BS198" s="91">
        <f t="shared" si="119"/>
        <v>4041.0869952005837</v>
      </c>
      <c r="BT198" s="91">
        <f t="shared" si="119"/>
        <v>4128.5902904247023</v>
      </c>
      <c r="BU198" s="91">
        <f t="shared" si="119"/>
        <v>4217.9883299797821</v>
      </c>
      <c r="BV198" s="91">
        <f t="shared" si="119"/>
        <v>4309.3221415330736</v>
      </c>
      <c r="BW198" s="91">
        <f t="shared" si="119"/>
        <v>4402.6336411405409</v>
      </c>
      <c r="BX198" s="91">
        <f t="shared" si="119"/>
        <v>4498.3455562379122</v>
      </c>
      <c r="BY198" s="91">
        <f t="shared" si="119"/>
        <v>4596.1382192326328</v>
      </c>
      <c r="BZ198" s="91">
        <f t="shared" si="119"/>
        <v>4696.0568649505667</v>
      </c>
      <c r="CA198" s="91">
        <f t="shared" si="119"/>
        <v>4798.1477116089172</v>
      </c>
      <c r="CB198" s="91">
        <f t="shared" si="119"/>
        <v>4902.4579821948619</v>
      </c>
      <c r="CC198" s="91">
        <f t="shared" si="119"/>
        <v>5009.3463992417492</v>
      </c>
      <c r="CD198" s="91">
        <f t="shared" si="119"/>
        <v>5118.7526494401836</v>
      </c>
      <c r="CE198" s="91">
        <f t="shared" si="119"/>
        <v>5230.5483785503375</v>
      </c>
      <c r="CF198" s="91">
        <f t="shared" si="119"/>
        <v>5344.7857738051971</v>
      </c>
      <c r="CG198" s="91">
        <f t="shared" si="119"/>
        <v>5461.5181622290593</v>
      </c>
      <c r="CH198" s="91">
        <f t="shared" si="119"/>
        <v>5580.8000355310478</v>
      </c>
      <c r="CI198" s="91">
        <f t="shared" si="119"/>
        <v>5702.7319868567311</v>
      </c>
      <c r="CJ198" s="91">
        <f t="shared" si="119"/>
        <v>5827.3279649634178</v>
      </c>
      <c r="CK198" s="91">
        <f t="shared" si="119"/>
        <v>5954.6461747646927</v>
      </c>
      <c r="CL198" s="91">
        <f t="shared" si="119"/>
        <v>6084.7460928625424</v>
      </c>
      <c r="CM198" s="91">
        <f t="shared" si="119"/>
        <v>6217.6884953318058</v>
      </c>
      <c r="CN198" s="91">
        <f t="shared" si="119"/>
        <v>6353.5354861116693</v>
      </c>
      <c r="CO198" s="91">
        <f t="shared" si="119"/>
        <v>6492.3505260174734</v>
      </c>
      <c r="CP198" s="91">
        <f t="shared" si="119"/>
        <v>6634.1984623863855</v>
      </c>
      <c r="CQ198" s="88" t="s">
        <v>141</v>
      </c>
    </row>
    <row r="199" spans="1:95" outlineLevel="1" x14ac:dyDescent="0.25"/>
    <row r="200" spans="1:95" ht="15.75" outlineLevel="1" x14ac:dyDescent="0.25">
      <c r="A200" s="84"/>
      <c r="B200" s="86" t="s">
        <v>303</v>
      </c>
      <c r="C200" s="84"/>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84"/>
    </row>
    <row r="201" spans="1:95" outlineLevel="1" x14ac:dyDescent="0.25">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row>
    <row r="202" spans="1:95" outlineLevel="1" x14ac:dyDescent="0.25">
      <c r="B202" t="s">
        <v>156</v>
      </c>
      <c r="C202" s="57">
        <f>NOx_abatement_base_value_low_in</f>
        <v>27000</v>
      </c>
      <c r="D202" s="95" t="s">
        <v>283</v>
      </c>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4"/>
      <c r="CP202" s="54"/>
    </row>
    <row r="203" spans="1:95" outlineLevel="1" x14ac:dyDescent="0.25">
      <c r="B203" t="s">
        <v>155</v>
      </c>
      <c r="C203" s="57">
        <f>NOx_abatement_base_value_central_in</f>
        <v>29000</v>
      </c>
      <c r="D203" s="95" t="s">
        <v>282</v>
      </c>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row>
    <row r="204" spans="1:95" outlineLevel="1" x14ac:dyDescent="0.25">
      <c r="B204" t="s">
        <v>157</v>
      </c>
      <c r="C204" s="57">
        <f>NOx_abatement_base_value_high_in</f>
        <v>73000</v>
      </c>
      <c r="D204" s="95" t="s">
        <v>284</v>
      </c>
    </row>
    <row r="205" spans="1:95" outlineLevel="1" x14ac:dyDescent="0.25"/>
    <row r="206" spans="1:95" outlineLevel="1" x14ac:dyDescent="0.25">
      <c r="B206" t="s">
        <v>101</v>
      </c>
      <c r="D206" s="91">
        <f t="shared" ref="D206:BO206" si="120">NOx_abatement_base_value_low*(Price_adjustment)</f>
        <v>27000</v>
      </c>
      <c r="E206" s="91">
        <f t="shared" si="120"/>
        <v>27000</v>
      </c>
      <c r="F206" s="91">
        <f t="shared" si="120"/>
        <v>27000</v>
      </c>
      <c r="G206" s="91">
        <f t="shared" si="120"/>
        <v>27000</v>
      </c>
      <c r="H206" s="91">
        <f t="shared" si="120"/>
        <v>27000</v>
      </c>
      <c r="I206" s="91">
        <f t="shared" si="120"/>
        <v>27000</v>
      </c>
      <c r="J206" s="91">
        <f t="shared" si="120"/>
        <v>27000</v>
      </c>
      <c r="K206" s="91">
        <f t="shared" si="120"/>
        <v>27000</v>
      </c>
      <c r="L206" s="91">
        <f t="shared" si="120"/>
        <v>27000</v>
      </c>
      <c r="M206" s="91">
        <f t="shared" si="120"/>
        <v>27000</v>
      </c>
      <c r="N206" s="91">
        <f t="shared" si="120"/>
        <v>27000</v>
      </c>
      <c r="O206" s="91">
        <f t="shared" si="120"/>
        <v>27000</v>
      </c>
      <c r="P206" s="91">
        <f t="shared" si="120"/>
        <v>27000</v>
      </c>
      <c r="Q206" s="91">
        <f t="shared" si="120"/>
        <v>27000</v>
      </c>
      <c r="R206" s="91">
        <f t="shared" si="120"/>
        <v>27000</v>
      </c>
      <c r="S206" s="91">
        <f t="shared" si="120"/>
        <v>27000</v>
      </c>
      <c r="T206" s="91">
        <f t="shared" si="120"/>
        <v>27000</v>
      </c>
      <c r="U206" s="91">
        <f t="shared" si="120"/>
        <v>27000</v>
      </c>
      <c r="V206" s="91">
        <f t="shared" si="120"/>
        <v>27000</v>
      </c>
      <c r="W206" s="91">
        <f t="shared" si="120"/>
        <v>27000</v>
      </c>
      <c r="X206" s="91">
        <f t="shared" si="120"/>
        <v>27000</v>
      </c>
      <c r="Y206" s="91">
        <f t="shared" si="120"/>
        <v>27000</v>
      </c>
      <c r="Z206" s="91">
        <f t="shared" si="120"/>
        <v>27000</v>
      </c>
      <c r="AA206" s="91">
        <f t="shared" si="120"/>
        <v>27000</v>
      </c>
      <c r="AB206" s="91">
        <f t="shared" si="120"/>
        <v>27000</v>
      </c>
      <c r="AC206" s="91">
        <f t="shared" si="120"/>
        <v>27000</v>
      </c>
      <c r="AD206" s="91">
        <f t="shared" si="120"/>
        <v>27000</v>
      </c>
      <c r="AE206" s="91">
        <f t="shared" si="120"/>
        <v>27000</v>
      </c>
      <c r="AF206" s="91">
        <f t="shared" si="120"/>
        <v>27000</v>
      </c>
      <c r="AG206" s="91">
        <f t="shared" si="120"/>
        <v>27000</v>
      </c>
      <c r="AH206" s="91">
        <f t="shared" si="120"/>
        <v>27000</v>
      </c>
      <c r="AI206" s="91">
        <f t="shared" si="120"/>
        <v>27000</v>
      </c>
      <c r="AJ206" s="91">
        <f t="shared" si="120"/>
        <v>27000</v>
      </c>
      <c r="AK206" s="91">
        <f t="shared" si="120"/>
        <v>27000</v>
      </c>
      <c r="AL206" s="91">
        <f t="shared" si="120"/>
        <v>27000</v>
      </c>
      <c r="AM206" s="91">
        <f t="shared" si="120"/>
        <v>27000</v>
      </c>
      <c r="AN206" s="91">
        <f t="shared" si="120"/>
        <v>27000</v>
      </c>
      <c r="AO206" s="91">
        <f t="shared" si="120"/>
        <v>27000</v>
      </c>
      <c r="AP206" s="91">
        <f t="shared" si="120"/>
        <v>27000</v>
      </c>
      <c r="AQ206" s="91">
        <f t="shared" si="120"/>
        <v>27000</v>
      </c>
      <c r="AR206" s="91">
        <f t="shared" si="120"/>
        <v>27000</v>
      </c>
      <c r="AS206" s="91">
        <f t="shared" si="120"/>
        <v>27000</v>
      </c>
      <c r="AT206" s="91">
        <f t="shared" si="120"/>
        <v>27000</v>
      </c>
      <c r="AU206" s="91">
        <f t="shared" si="120"/>
        <v>27000</v>
      </c>
      <c r="AV206" s="91">
        <f t="shared" si="120"/>
        <v>27000</v>
      </c>
      <c r="AW206" s="91">
        <f t="shared" si="120"/>
        <v>27000</v>
      </c>
      <c r="AX206" s="91">
        <f t="shared" si="120"/>
        <v>27000</v>
      </c>
      <c r="AY206" s="91">
        <f t="shared" si="120"/>
        <v>27000</v>
      </c>
      <c r="AZ206" s="91">
        <f t="shared" si="120"/>
        <v>27000</v>
      </c>
      <c r="BA206" s="91">
        <f t="shared" si="120"/>
        <v>27000</v>
      </c>
      <c r="BB206" s="91">
        <f t="shared" si="120"/>
        <v>27000</v>
      </c>
      <c r="BC206" s="91">
        <f t="shared" si="120"/>
        <v>27000</v>
      </c>
      <c r="BD206" s="91">
        <f t="shared" si="120"/>
        <v>27000</v>
      </c>
      <c r="BE206" s="91">
        <f t="shared" si="120"/>
        <v>27000</v>
      </c>
      <c r="BF206" s="91">
        <f t="shared" si="120"/>
        <v>27000</v>
      </c>
      <c r="BG206" s="91">
        <f t="shared" si="120"/>
        <v>27000</v>
      </c>
      <c r="BH206" s="91">
        <f t="shared" si="120"/>
        <v>27000</v>
      </c>
      <c r="BI206" s="91">
        <f t="shared" si="120"/>
        <v>27000</v>
      </c>
      <c r="BJ206" s="91">
        <f t="shared" si="120"/>
        <v>27000</v>
      </c>
      <c r="BK206" s="91">
        <f t="shared" si="120"/>
        <v>27000</v>
      </c>
      <c r="BL206" s="91">
        <f t="shared" si="120"/>
        <v>27000</v>
      </c>
      <c r="BM206" s="91">
        <f t="shared" si="120"/>
        <v>27000</v>
      </c>
      <c r="BN206" s="91">
        <f t="shared" si="120"/>
        <v>27000</v>
      </c>
      <c r="BO206" s="91">
        <f t="shared" si="120"/>
        <v>27000</v>
      </c>
      <c r="BP206" s="91">
        <f t="shared" ref="BP206:CP206" si="121">NOx_abatement_base_value_low*(Price_adjustment)</f>
        <v>27000</v>
      </c>
      <c r="BQ206" s="91">
        <f t="shared" si="121"/>
        <v>27000</v>
      </c>
      <c r="BR206" s="91">
        <f t="shared" si="121"/>
        <v>27000</v>
      </c>
      <c r="BS206" s="91">
        <f t="shared" si="121"/>
        <v>27000</v>
      </c>
      <c r="BT206" s="91">
        <f t="shared" si="121"/>
        <v>27000</v>
      </c>
      <c r="BU206" s="91">
        <f t="shared" si="121"/>
        <v>27000</v>
      </c>
      <c r="BV206" s="91">
        <f t="shared" si="121"/>
        <v>27000</v>
      </c>
      <c r="BW206" s="91">
        <f t="shared" si="121"/>
        <v>27000</v>
      </c>
      <c r="BX206" s="91">
        <f t="shared" si="121"/>
        <v>27000</v>
      </c>
      <c r="BY206" s="91">
        <f t="shared" si="121"/>
        <v>27000</v>
      </c>
      <c r="BZ206" s="91">
        <f t="shared" si="121"/>
        <v>27000</v>
      </c>
      <c r="CA206" s="91">
        <f t="shared" si="121"/>
        <v>27000</v>
      </c>
      <c r="CB206" s="91">
        <f t="shared" si="121"/>
        <v>27000</v>
      </c>
      <c r="CC206" s="91">
        <f t="shared" si="121"/>
        <v>27000</v>
      </c>
      <c r="CD206" s="91">
        <f t="shared" si="121"/>
        <v>27000</v>
      </c>
      <c r="CE206" s="91">
        <f t="shared" si="121"/>
        <v>27000</v>
      </c>
      <c r="CF206" s="91">
        <f t="shared" si="121"/>
        <v>27000</v>
      </c>
      <c r="CG206" s="91">
        <f t="shared" si="121"/>
        <v>27000</v>
      </c>
      <c r="CH206" s="91">
        <f t="shared" si="121"/>
        <v>27000</v>
      </c>
      <c r="CI206" s="91">
        <f t="shared" si="121"/>
        <v>27000</v>
      </c>
      <c r="CJ206" s="91">
        <f t="shared" si="121"/>
        <v>27000</v>
      </c>
      <c r="CK206" s="91">
        <f t="shared" si="121"/>
        <v>27000</v>
      </c>
      <c r="CL206" s="91">
        <f t="shared" si="121"/>
        <v>27000</v>
      </c>
      <c r="CM206" s="91">
        <f t="shared" si="121"/>
        <v>27000</v>
      </c>
      <c r="CN206" s="91">
        <f t="shared" si="121"/>
        <v>27000</v>
      </c>
      <c r="CO206" s="91">
        <f t="shared" si="121"/>
        <v>27000</v>
      </c>
      <c r="CP206" s="91">
        <f t="shared" si="121"/>
        <v>27000</v>
      </c>
      <c r="CQ206" s="88" t="s">
        <v>147</v>
      </c>
    </row>
    <row r="207" spans="1:95" outlineLevel="1" x14ac:dyDescent="0.25">
      <c r="B207" t="s">
        <v>100</v>
      </c>
      <c r="D207" s="91">
        <f t="shared" ref="D207:BO207" si="122">NOx_abatement_base_value_central*(Price_adjustment)</f>
        <v>29000</v>
      </c>
      <c r="E207" s="91">
        <f t="shared" si="122"/>
        <v>29000</v>
      </c>
      <c r="F207" s="91">
        <f t="shared" si="122"/>
        <v>29000</v>
      </c>
      <c r="G207" s="91">
        <f t="shared" si="122"/>
        <v>29000</v>
      </c>
      <c r="H207" s="91">
        <f t="shared" si="122"/>
        <v>29000</v>
      </c>
      <c r="I207" s="91">
        <f t="shared" si="122"/>
        <v>29000</v>
      </c>
      <c r="J207" s="91">
        <f t="shared" si="122"/>
        <v>29000</v>
      </c>
      <c r="K207" s="91">
        <f t="shared" si="122"/>
        <v>29000</v>
      </c>
      <c r="L207" s="91">
        <f t="shared" si="122"/>
        <v>29000</v>
      </c>
      <c r="M207" s="91">
        <f t="shared" si="122"/>
        <v>29000</v>
      </c>
      <c r="N207" s="91">
        <f t="shared" si="122"/>
        <v>29000</v>
      </c>
      <c r="O207" s="91">
        <f t="shared" si="122"/>
        <v>29000</v>
      </c>
      <c r="P207" s="91">
        <f t="shared" si="122"/>
        <v>29000</v>
      </c>
      <c r="Q207" s="91">
        <f t="shared" si="122"/>
        <v>29000</v>
      </c>
      <c r="R207" s="91">
        <f t="shared" si="122"/>
        <v>29000</v>
      </c>
      <c r="S207" s="91">
        <f t="shared" si="122"/>
        <v>29000</v>
      </c>
      <c r="T207" s="91">
        <f t="shared" si="122"/>
        <v>29000</v>
      </c>
      <c r="U207" s="91">
        <f t="shared" si="122"/>
        <v>29000</v>
      </c>
      <c r="V207" s="91">
        <f t="shared" si="122"/>
        <v>29000</v>
      </c>
      <c r="W207" s="91">
        <f t="shared" si="122"/>
        <v>29000</v>
      </c>
      <c r="X207" s="91">
        <f t="shared" si="122"/>
        <v>29000</v>
      </c>
      <c r="Y207" s="91">
        <f t="shared" si="122"/>
        <v>29000</v>
      </c>
      <c r="Z207" s="91">
        <f t="shared" si="122"/>
        <v>29000</v>
      </c>
      <c r="AA207" s="91">
        <f t="shared" si="122"/>
        <v>29000</v>
      </c>
      <c r="AB207" s="91">
        <f t="shared" si="122"/>
        <v>29000</v>
      </c>
      <c r="AC207" s="91">
        <f t="shared" si="122"/>
        <v>29000</v>
      </c>
      <c r="AD207" s="91">
        <f t="shared" si="122"/>
        <v>29000</v>
      </c>
      <c r="AE207" s="91">
        <f t="shared" si="122"/>
        <v>29000</v>
      </c>
      <c r="AF207" s="91">
        <f t="shared" si="122"/>
        <v>29000</v>
      </c>
      <c r="AG207" s="91">
        <f t="shared" si="122"/>
        <v>29000</v>
      </c>
      <c r="AH207" s="91">
        <f t="shared" si="122"/>
        <v>29000</v>
      </c>
      <c r="AI207" s="91">
        <f t="shared" si="122"/>
        <v>29000</v>
      </c>
      <c r="AJ207" s="91">
        <f t="shared" si="122"/>
        <v>29000</v>
      </c>
      <c r="AK207" s="91">
        <f t="shared" si="122"/>
        <v>29000</v>
      </c>
      <c r="AL207" s="91">
        <f t="shared" si="122"/>
        <v>29000</v>
      </c>
      <c r="AM207" s="91">
        <f t="shared" si="122"/>
        <v>29000</v>
      </c>
      <c r="AN207" s="91">
        <f t="shared" si="122"/>
        <v>29000</v>
      </c>
      <c r="AO207" s="91">
        <f t="shared" si="122"/>
        <v>29000</v>
      </c>
      <c r="AP207" s="91">
        <f t="shared" si="122"/>
        <v>29000</v>
      </c>
      <c r="AQ207" s="91">
        <f t="shared" si="122"/>
        <v>29000</v>
      </c>
      <c r="AR207" s="91">
        <f t="shared" si="122"/>
        <v>29000</v>
      </c>
      <c r="AS207" s="91">
        <f t="shared" si="122"/>
        <v>29000</v>
      </c>
      <c r="AT207" s="91">
        <f t="shared" si="122"/>
        <v>29000</v>
      </c>
      <c r="AU207" s="91">
        <f t="shared" si="122"/>
        <v>29000</v>
      </c>
      <c r="AV207" s="91">
        <f t="shared" si="122"/>
        <v>29000</v>
      </c>
      <c r="AW207" s="91">
        <f t="shared" si="122"/>
        <v>29000</v>
      </c>
      <c r="AX207" s="91">
        <f t="shared" si="122"/>
        <v>29000</v>
      </c>
      <c r="AY207" s="91">
        <f t="shared" si="122"/>
        <v>29000</v>
      </c>
      <c r="AZ207" s="91">
        <f t="shared" si="122"/>
        <v>29000</v>
      </c>
      <c r="BA207" s="91">
        <f t="shared" si="122"/>
        <v>29000</v>
      </c>
      <c r="BB207" s="91">
        <f t="shared" si="122"/>
        <v>29000</v>
      </c>
      <c r="BC207" s="91">
        <f t="shared" si="122"/>
        <v>29000</v>
      </c>
      <c r="BD207" s="91">
        <f t="shared" si="122"/>
        <v>29000</v>
      </c>
      <c r="BE207" s="91">
        <f t="shared" si="122"/>
        <v>29000</v>
      </c>
      <c r="BF207" s="91">
        <f t="shared" si="122"/>
        <v>29000</v>
      </c>
      <c r="BG207" s="91">
        <f t="shared" si="122"/>
        <v>29000</v>
      </c>
      <c r="BH207" s="91">
        <f t="shared" si="122"/>
        <v>29000</v>
      </c>
      <c r="BI207" s="91">
        <f t="shared" si="122"/>
        <v>29000</v>
      </c>
      <c r="BJ207" s="91">
        <f t="shared" si="122"/>
        <v>29000</v>
      </c>
      <c r="BK207" s="91">
        <f t="shared" si="122"/>
        <v>29000</v>
      </c>
      <c r="BL207" s="91">
        <f t="shared" si="122"/>
        <v>29000</v>
      </c>
      <c r="BM207" s="91">
        <f t="shared" si="122"/>
        <v>29000</v>
      </c>
      <c r="BN207" s="91">
        <f t="shared" si="122"/>
        <v>29000</v>
      </c>
      <c r="BO207" s="91">
        <f t="shared" si="122"/>
        <v>29000</v>
      </c>
      <c r="BP207" s="91">
        <f t="shared" ref="BP207:CP207" si="123">NOx_abatement_base_value_central*(Price_adjustment)</f>
        <v>29000</v>
      </c>
      <c r="BQ207" s="91">
        <f t="shared" si="123"/>
        <v>29000</v>
      </c>
      <c r="BR207" s="91">
        <f t="shared" si="123"/>
        <v>29000</v>
      </c>
      <c r="BS207" s="91">
        <f t="shared" si="123"/>
        <v>29000</v>
      </c>
      <c r="BT207" s="91">
        <f t="shared" si="123"/>
        <v>29000</v>
      </c>
      <c r="BU207" s="91">
        <f t="shared" si="123"/>
        <v>29000</v>
      </c>
      <c r="BV207" s="91">
        <f t="shared" si="123"/>
        <v>29000</v>
      </c>
      <c r="BW207" s="91">
        <f t="shared" si="123"/>
        <v>29000</v>
      </c>
      <c r="BX207" s="91">
        <f t="shared" si="123"/>
        <v>29000</v>
      </c>
      <c r="BY207" s="91">
        <f t="shared" si="123"/>
        <v>29000</v>
      </c>
      <c r="BZ207" s="91">
        <f t="shared" si="123"/>
        <v>29000</v>
      </c>
      <c r="CA207" s="91">
        <f t="shared" si="123"/>
        <v>29000</v>
      </c>
      <c r="CB207" s="91">
        <f t="shared" si="123"/>
        <v>29000</v>
      </c>
      <c r="CC207" s="91">
        <f t="shared" si="123"/>
        <v>29000</v>
      </c>
      <c r="CD207" s="91">
        <f t="shared" si="123"/>
        <v>29000</v>
      </c>
      <c r="CE207" s="91">
        <f t="shared" si="123"/>
        <v>29000</v>
      </c>
      <c r="CF207" s="91">
        <f t="shared" si="123"/>
        <v>29000</v>
      </c>
      <c r="CG207" s="91">
        <f t="shared" si="123"/>
        <v>29000</v>
      </c>
      <c r="CH207" s="91">
        <f t="shared" si="123"/>
        <v>29000</v>
      </c>
      <c r="CI207" s="91">
        <f t="shared" si="123"/>
        <v>29000</v>
      </c>
      <c r="CJ207" s="91">
        <f t="shared" si="123"/>
        <v>29000</v>
      </c>
      <c r="CK207" s="91">
        <f t="shared" si="123"/>
        <v>29000</v>
      </c>
      <c r="CL207" s="91">
        <f t="shared" si="123"/>
        <v>29000</v>
      </c>
      <c r="CM207" s="91">
        <f t="shared" si="123"/>
        <v>29000</v>
      </c>
      <c r="CN207" s="91">
        <f t="shared" si="123"/>
        <v>29000</v>
      </c>
      <c r="CO207" s="91">
        <f t="shared" si="123"/>
        <v>29000</v>
      </c>
      <c r="CP207" s="91">
        <f t="shared" si="123"/>
        <v>29000</v>
      </c>
      <c r="CQ207" s="88" t="s">
        <v>146</v>
      </c>
    </row>
    <row r="208" spans="1:95" outlineLevel="1" x14ac:dyDescent="0.25">
      <c r="B208" t="s">
        <v>102</v>
      </c>
      <c r="D208" s="91">
        <f t="shared" ref="D208:BO208" si="124">NOx_abatement_base_value_high*(Price_adjustment)</f>
        <v>73000</v>
      </c>
      <c r="E208" s="91">
        <f t="shared" si="124"/>
        <v>73000</v>
      </c>
      <c r="F208" s="91">
        <f t="shared" si="124"/>
        <v>73000</v>
      </c>
      <c r="G208" s="91">
        <f t="shared" si="124"/>
        <v>73000</v>
      </c>
      <c r="H208" s="91">
        <f t="shared" si="124"/>
        <v>73000</v>
      </c>
      <c r="I208" s="91">
        <f t="shared" si="124"/>
        <v>73000</v>
      </c>
      <c r="J208" s="91">
        <f t="shared" si="124"/>
        <v>73000</v>
      </c>
      <c r="K208" s="91">
        <f t="shared" si="124"/>
        <v>73000</v>
      </c>
      <c r="L208" s="91">
        <f t="shared" si="124"/>
        <v>73000</v>
      </c>
      <c r="M208" s="91">
        <f t="shared" si="124"/>
        <v>73000</v>
      </c>
      <c r="N208" s="91">
        <f t="shared" si="124"/>
        <v>73000</v>
      </c>
      <c r="O208" s="91">
        <f t="shared" si="124"/>
        <v>73000</v>
      </c>
      <c r="P208" s="91">
        <f t="shared" si="124"/>
        <v>73000</v>
      </c>
      <c r="Q208" s="91">
        <f t="shared" si="124"/>
        <v>73000</v>
      </c>
      <c r="R208" s="91">
        <f t="shared" si="124"/>
        <v>73000</v>
      </c>
      <c r="S208" s="91">
        <f t="shared" si="124"/>
        <v>73000</v>
      </c>
      <c r="T208" s="91">
        <f t="shared" si="124"/>
        <v>73000</v>
      </c>
      <c r="U208" s="91">
        <f t="shared" si="124"/>
        <v>73000</v>
      </c>
      <c r="V208" s="91">
        <f t="shared" si="124"/>
        <v>73000</v>
      </c>
      <c r="W208" s="91">
        <f t="shared" si="124"/>
        <v>73000</v>
      </c>
      <c r="X208" s="91">
        <f t="shared" si="124"/>
        <v>73000</v>
      </c>
      <c r="Y208" s="91">
        <f t="shared" si="124"/>
        <v>73000</v>
      </c>
      <c r="Z208" s="91">
        <f t="shared" si="124"/>
        <v>73000</v>
      </c>
      <c r="AA208" s="91">
        <f t="shared" si="124"/>
        <v>73000</v>
      </c>
      <c r="AB208" s="91">
        <f t="shared" si="124"/>
        <v>73000</v>
      </c>
      <c r="AC208" s="91">
        <f t="shared" si="124"/>
        <v>73000</v>
      </c>
      <c r="AD208" s="91">
        <f t="shared" si="124"/>
        <v>73000</v>
      </c>
      <c r="AE208" s="91">
        <f t="shared" si="124"/>
        <v>73000</v>
      </c>
      <c r="AF208" s="91">
        <f t="shared" si="124"/>
        <v>73000</v>
      </c>
      <c r="AG208" s="91">
        <f t="shared" si="124"/>
        <v>73000</v>
      </c>
      <c r="AH208" s="91">
        <f t="shared" si="124"/>
        <v>73000</v>
      </c>
      <c r="AI208" s="91">
        <f t="shared" si="124"/>
        <v>73000</v>
      </c>
      <c r="AJ208" s="91">
        <f t="shared" si="124"/>
        <v>73000</v>
      </c>
      <c r="AK208" s="91">
        <f t="shared" si="124"/>
        <v>73000</v>
      </c>
      <c r="AL208" s="91">
        <f t="shared" si="124"/>
        <v>73000</v>
      </c>
      <c r="AM208" s="91">
        <f t="shared" si="124"/>
        <v>73000</v>
      </c>
      <c r="AN208" s="91">
        <f t="shared" si="124"/>
        <v>73000</v>
      </c>
      <c r="AO208" s="91">
        <f t="shared" si="124"/>
        <v>73000</v>
      </c>
      <c r="AP208" s="91">
        <f t="shared" si="124"/>
        <v>73000</v>
      </c>
      <c r="AQ208" s="91">
        <f t="shared" si="124"/>
        <v>73000</v>
      </c>
      <c r="AR208" s="91">
        <f t="shared" si="124"/>
        <v>73000</v>
      </c>
      <c r="AS208" s="91">
        <f t="shared" si="124"/>
        <v>73000</v>
      </c>
      <c r="AT208" s="91">
        <f t="shared" si="124"/>
        <v>73000</v>
      </c>
      <c r="AU208" s="91">
        <f t="shared" si="124"/>
        <v>73000</v>
      </c>
      <c r="AV208" s="91">
        <f t="shared" si="124"/>
        <v>73000</v>
      </c>
      <c r="AW208" s="91">
        <f t="shared" si="124"/>
        <v>73000</v>
      </c>
      <c r="AX208" s="91">
        <f t="shared" si="124"/>
        <v>73000</v>
      </c>
      <c r="AY208" s="91">
        <f t="shared" si="124"/>
        <v>73000</v>
      </c>
      <c r="AZ208" s="91">
        <f t="shared" si="124"/>
        <v>73000</v>
      </c>
      <c r="BA208" s="91">
        <f t="shared" si="124"/>
        <v>73000</v>
      </c>
      <c r="BB208" s="91">
        <f t="shared" si="124"/>
        <v>73000</v>
      </c>
      <c r="BC208" s="91">
        <f t="shared" si="124"/>
        <v>73000</v>
      </c>
      <c r="BD208" s="91">
        <f t="shared" si="124"/>
        <v>73000</v>
      </c>
      <c r="BE208" s="91">
        <f t="shared" si="124"/>
        <v>73000</v>
      </c>
      <c r="BF208" s="91">
        <f t="shared" si="124"/>
        <v>73000</v>
      </c>
      <c r="BG208" s="91">
        <f t="shared" si="124"/>
        <v>73000</v>
      </c>
      <c r="BH208" s="91">
        <f t="shared" si="124"/>
        <v>73000</v>
      </c>
      <c r="BI208" s="91">
        <f t="shared" si="124"/>
        <v>73000</v>
      </c>
      <c r="BJ208" s="91">
        <f t="shared" si="124"/>
        <v>73000</v>
      </c>
      <c r="BK208" s="91">
        <f t="shared" si="124"/>
        <v>73000</v>
      </c>
      <c r="BL208" s="91">
        <f t="shared" si="124"/>
        <v>73000</v>
      </c>
      <c r="BM208" s="91">
        <f t="shared" si="124"/>
        <v>73000</v>
      </c>
      <c r="BN208" s="91">
        <f t="shared" si="124"/>
        <v>73000</v>
      </c>
      <c r="BO208" s="91">
        <f t="shared" si="124"/>
        <v>73000</v>
      </c>
      <c r="BP208" s="91">
        <f t="shared" ref="BP208:CP208" si="125">NOx_abatement_base_value_high*(Price_adjustment)</f>
        <v>73000</v>
      </c>
      <c r="BQ208" s="91">
        <f t="shared" si="125"/>
        <v>73000</v>
      </c>
      <c r="BR208" s="91">
        <f t="shared" si="125"/>
        <v>73000</v>
      </c>
      <c r="BS208" s="91">
        <f t="shared" si="125"/>
        <v>73000</v>
      </c>
      <c r="BT208" s="91">
        <f t="shared" si="125"/>
        <v>73000</v>
      </c>
      <c r="BU208" s="91">
        <f t="shared" si="125"/>
        <v>73000</v>
      </c>
      <c r="BV208" s="91">
        <f t="shared" si="125"/>
        <v>73000</v>
      </c>
      <c r="BW208" s="91">
        <f t="shared" si="125"/>
        <v>73000</v>
      </c>
      <c r="BX208" s="91">
        <f t="shared" si="125"/>
        <v>73000</v>
      </c>
      <c r="BY208" s="91">
        <f t="shared" si="125"/>
        <v>73000</v>
      </c>
      <c r="BZ208" s="91">
        <f t="shared" si="125"/>
        <v>73000</v>
      </c>
      <c r="CA208" s="91">
        <f t="shared" si="125"/>
        <v>73000</v>
      </c>
      <c r="CB208" s="91">
        <f t="shared" si="125"/>
        <v>73000</v>
      </c>
      <c r="CC208" s="91">
        <f t="shared" si="125"/>
        <v>73000</v>
      </c>
      <c r="CD208" s="91">
        <f t="shared" si="125"/>
        <v>73000</v>
      </c>
      <c r="CE208" s="91">
        <f t="shared" si="125"/>
        <v>73000</v>
      </c>
      <c r="CF208" s="91">
        <f t="shared" si="125"/>
        <v>73000</v>
      </c>
      <c r="CG208" s="91">
        <f t="shared" si="125"/>
        <v>73000</v>
      </c>
      <c r="CH208" s="91">
        <f t="shared" si="125"/>
        <v>73000</v>
      </c>
      <c r="CI208" s="91">
        <f t="shared" si="125"/>
        <v>73000</v>
      </c>
      <c r="CJ208" s="91">
        <f t="shared" si="125"/>
        <v>73000</v>
      </c>
      <c r="CK208" s="91">
        <f t="shared" si="125"/>
        <v>73000</v>
      </c>
      <c r="CL208" s="91">
        <f t="shared" si="125"/>
        <v>73000</v>
      </c>
      <c r="CM208" s="91">
        <f t="shared" si="125"/>
        <v>73000</v>
      </c>
      <c r="CN208" s="91">
        <f t="shared" si="125"/>
        <v>73000</v>
      </c>
      <c r="CO208" s="91">
        <f t="shared" si="125"/>
        <v>73000</v>
      </c>
      <c r="CP208" s="91">
        <f t="shared" si="125"/>
        <v>73000</v>
      </c>
      <c r="CQ208" s="88" t="s">
        <v>148</v>
      </c>
    </row>
    <row r="209" spans="1:95" outlineLevel="1" x14ac:dyDescent="0.25">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8"/>
    </row>
    <row r="210" spans="1:95" ht="15.75" outlineLevel="1" x14ac:dyDescent="0.25">
      <c r="A210" s="84"/>
      <c r="B210" s="86" t="s">
        <v>304</v>
      </c>
      <c r="C210" s="84"/>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84"/>
    </row>
    <row r="211" spans="1:95" outlineLevel="1" x14ac:dyDescent="0.25">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row>
    <row r="212" spans="1:95" outlineLevel="1" x14ac:dyDescent="0.25">
      <c r="B212" t="s">
        <v>156</v>
      </c>
      <c r="C212" s="117">
        <f>PM10_damage_base_value_low_in</f>
        <v>48.59</v>
      </c>
      <c r="D212" s="95" t="s">
        <v>159</v>
      </c>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4"/>
      <c r="CP212" s="54"/>
    </row>
    <row r="213" spans="1:95" outlineLevel="1" x14ac:dyDescent="0.25">
      <c r="B213" t="s">
        <v>155</v>
      </c>
      <c r="C213" s="117">
        <f>PM10_damage_base_value_central_in</f>
        <v>92.72</v>
      </c>
      <c r="D213" s="95" t="s">
        <v>158</v>
      </c>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row>
    <row r="214" spans="1:95" outlineLevel="1" x14ac:dyDescent="0.25">
      <c r="B214" t="s">
        <v>157</v>
      </c>
      <c r="C214" s="117">
        <f>PM10_damage_base_value_high_in</f>
        <v>105.36</v>
      </c>
      <c r="D214" s="95" t="s">
        <v>160</v>
      </c>
    </row>
    <row r="215" spans="1:95" outlineLevel="1" x14ac:dyDescent="0.25"/>
    <row r="216" spans="1:95" outlineLevel="1" x14ac:dyDescent="0.25">
      <c r="B216" t="s">
        <v>101</v>
      </c>
      <c r="D216" s="91">
        <f t="shared" ref="D216:BO216" si="126">PM10_damage_base_value_low*(GDP_household/GDP_household_base_values)*(Price_adjustment)</f>
        <v>48.59</v>
      </c>
      <c r="E216" s="91">
        <f t="shared" si="126"/>
        <v>49.007646697267113</v>
      </c>
      <c r="F216" s="91">
        <f t="shared" si="126"/>
        <v>49.268677846206081</v>
      </c>
      <c r="G216" s="91">
        <f t="shared" si="126"/>
        <v>50.134889757295021</v>
      </c>
      <c r="H216" s="91">
        <f t="shared" si="126"/>
        <v>51.579451140337255</v>
      </c>
      <c r="I216" s="91">
        <f t="shared" si="126"/>
        <v>52.169024828418316</v>
      </c>
      <c r="J216" s="91">
        <f t="shared" si="126"/>
        <v>52.699390946997426</v>
      </c>
      <c r="K216" s="91">
        <f t="shared" si="126"/>
        <v>53.356251894485155</v>
      </c>
      <c r="L216" s="91">
        <f t="shared" si="126"/>
        <v>53.976416409183379</v>
      </c>
      <c r="M216" s="91">
        <f t="shared" si="126"/>
        <v>54.608579035258785</v>
      </c>
      <c r="N216" s="91">
        <f t="shared" si="126"/>
        <v>55.260194360616133</v>
      </c>
      <c r="O216" s="91">
        <f t="shared" si="126"/>
        <v>56.087886274506857</v>
      </c>
      <c r="P216" s="91">
        <f t="shared" si="126"/>
        <v>56.944457631187852</v>
      </c>
      <c r="Q216" s="91">
        <f t="shared" si="126"/>
        <v>57.823487117523015</v>
      </c>
      <c r="R216" s="91">
        <f t="shared" si="126"/>
        <v>58.775100026977668</v>
      </c>
      <c r="S216" s="91">
        <f t="shared" si="126"/>
        <v>59.754356787120301</v>
      </c>
      <c r="T216" s="91">
        <f t="shared" si="126"/>
        <v>60.747379395303149</v>
      </c>
      <c r="U216" s="91">
        <f t="shared" si="126"/>
        <v>61.768472288327231</v>
      </c>
      <c r="V216" s="91">
        <f t="shared" si="126"/>
        <v>62.819845045184934</v>
      </c>
      <c r="W216" s="91">
        <f t="shared" si="126"/>
        <v>63.900205022884812</v>
      </c>
      <c r="X216" s="91">
        <f t="shared" si="126"/>
        <v>65.011772401781684</v>
      </c>
      <c r="Y216" s="91">
        <f t="shared" si="126"/>
        <v>66.146510380274933</v>
      </c>
      <c r="Z216" s="91">
        <f t="shared" si="126"/>
        <v>67.320214277603498</v>
      </c>
      <c r="AA216" s="91">
        <f t="shared" si="126"/>
        <v>68.530681698243313</v>
      </c>
      <c r="AB216" s="91">
        <f t="shared" si="126"/>
        <v>70.004086832595092</v>
      </c>
      <c r="AC216" s="91">
        <f t="shared" si="126"/>
        <v>71.447173894538963</v>
      </c>
      <c r="AD216" s="91">
        <f t="shared" si="126"/>
        <v>72.926757521052423</v>
      </c>
      <c r="AE216" s="91">
        <f t="shared" si="126"/>
        <v>74.442715597318667</v>
      </c>
      <c r="AF216" s="91">
        <f t="shared" si="126"/>
        <v>76.000335219702421</v>
      </c>
      <c r="AG216" s="91">
        <f t="shared" si="126"/>
        <v>77.590546061637568</v>
      </c>
      <c r="AH216" s="91">
        <f t="shared" si="126"/>
        <v>79.214030053151575</v>
      </c>
      <c r="AI216" s="91">
        <f t="shared" si="126"/>
        <v>80.871483392794786</v>
      </c>
      <c r="AJ216" s="91">
        <f t="shared" si="126"/>
        <v>82.578524204820013</v>
      </c>
      <c r="AK216" s="91">
        <f t="shared" si="126"/>
        <v>84.321597351256202</v>
      </c>
      <c r="AL216" s="91">
        <f t="shared" si="126"/>
        <v>86.101463405086704</v>
      </c>
      <c r="AM216" s="91">
        <f t="shared" si="126"/>
        <v>87.918898993521523</v>
      </c>
      <c r="AN216" s="91">
        <f t="shared" si="126"/>
        <v>89.862282207248398</v>
      </c>
      <c r="AO216" s="91">
        <f t="shared" si="126"/>
        <v>91.783295664146493</v>
      </c>
      <c r="AP216" s="91">
        <f t="shared" si="126"/>
        <v>93.74537521252303</v>
      </c>
      <c r="AQ216" s="91">
        <f t="shared" si="126"/>
        <v>95.74939873475995</v>
      </c>
      <c r="AR216" s="91">
        <f t="shared" si="126"/>
        <v>97.796262879999063</v>
      </c>
      <c r="AS216" s="91">
        <f t="shared" si="126"/>
        <v>99.78943284730984</v>
      </c>
      <c r="AT216" s="91">
        <f t="shared" si="126"/>
        <v>101.85556474694164</v>
      </c>
      <c r="AU216" s="91">
        <f t="shared" si="126"/>
        <v>103.9644757355498</v>
      </c>
      <c r="AV216" s="91">
        <f t="shared" si="126"/>
        <v>106.11705155061023</v>
      </c>
      <c r="AW216" s="91">
        <f t="shared" si="126"/>
        <v>108.31419626871951</v>
      </c>
      <c r="AX216" s="91">
        <f t="shared" si="126"/>
        <v>110.55683268530494</v>
      </c>
      <c r="AY216" s="91">
        <f t="shared" si="126"/>
        <v>112.87241414270675</v>
      </c>
      <c r="AZ216" s="91">
        <f t="shared" si="126"/>
        <v>115.34903043545209</v>
      </c>
      <c r="BA216" s="91">
        <f t="shared" si="126"/>
        <v>117.87998797984939</v>
      </c>
      <c r="BB216" s="91">
        <f t="shared" si="126"/>
        <v>120.58400738940344</v>
      </c>
      <c r="BC216" s="91">
        <f t="shared" si="126"/>
        <v>123.35005362040992</v>
      </c>
      <c r="BD216" s="91">
        <f t="shared" si="126"/>
        <v>126.18688906486952</v>
      </c>
      <c r="BE216" s="91">
        <f t="shared" si="126"/>
        <v>129.08560738113317</v>
      </c>
      <c r="BF216" s="91">
        <f t="shared" si="126"/>
        <v>131.92220938268429</v>
      </c>
      <c r="BG216" s="91">
        <f t="shared" si="126"/>
        <v>134.82114452174349</v>
      </c>
      <c r="BH216" s="91">
        <f t="shared" si="126"/>
        <v>137.78378254282535</v>
      </c>
      <c r="BI216" s="91">
        <f t="shared" si="126"/>
        <v>140.79272816070136</v>
      </c>
      <c r="BJ216" s="91">
        <f t="shared" si="126"/>
        <v>143.86738364344137</v>
      </c>
      <c r="BK216" s="91">
        <f t="shared" si="126"/>
        <v>147.00918397422177</v>
      </c>
      <c r="BL216" s="91">
        <f t="shared" si="126"/>
        <v>150.21959547362505</v>
      </c>
      <c r="BM216" s="91">
        <f t="shared" si="126"/>
        <v>153.50011648399129</v>
      </c>
      <c r="BN216" s="91">
        <f t="shared" si="126"/>
        <v>156.82839676123635</v>
      </c>
      <c r="BO216" s="91">
        <f t="shared" si="126"/>
        <v>160.22884277918334</v>
      </c>
      <c r="BP216" s="91">
        <f t="shared" ref="BP216:CP216" si="127">PM10_damage_base_value_low*(GDP_household/GDP_household_base_values)*(Price_adjustment)</f>
        <v>163.70301927808762</v>
      </c>
      <c r="BQ216" s="91">
        <f t="shared" si="127"/>
        <v>167.25252492582791</v>
      </c>
      <c r="BR216" s="91">
        <f t="shared" si="127"/>
        <v>170.87899305354509</v>
      </c>
      <c r="BS216" s="91">
        <f t="shared" si="127"/>
        <v>174.57910517548723</v>
      </c>
      <c r="BT216" s="91">
        <f t="shared" si="127"/>
        <v>178.35933732546965</v>
      </c>
      <c r="BU216" s="91">
        <f t="shared" si="127"/>
        <v>182.22142437494534</v>
      </c>
      <c r="BV216" s="91">
        <f t="shared" si="127"/>
        <v>186.16713876124226</v>
      </c>
      <c r="BW216" s="91">
        <f t="shared" si="127"/>
        <v>190.19829130099248</v>
      </c>
      <c r="BX216" s="91">
        <f t="shared" si="127"/>
        <v>194.33314425322445</v>
      </c>
      <c r="BY216" s="91">
        <f t="shared" si="127"/>
        <v>198.55788764989535</v>
      </c>
      <c r="BZ216" s="91">
        <f t="shared" si="127"/>
        <v>202.87447568190265</v>
      </c>
      <c r="CA216" s="91">
        <f t="shared" si="127"/>
        <v>207.28490502365904</v>
      </c>
      <c r="CB216" s="91">
        <f t="shared" si="127"/>
        <v>211.79121575667099</v>
      </c>
      <c r="CC216" s="91">
        <f t="shared" si="127"/>
        <v>216.40890506250184</v>
      </c>
      <c r="CD216" s="91">
        <f t="shared" si="127"/>
        <v>221.13536734429195</v>
      </c>
      <c r="CE216" s="91">
        <f t="shared" si="127"/>
        <v>225.96505756716306</v>
      </c>
      <c r="CF216" s="91">
        <f t="shared" si="127"/>
        <v>230.90023027313495</v>
      </c>
      <c r="CG216" s="91">
        <f t="shared" si="127"/>
        <v>235.9431892443817</v>
      </c>
      <c r="CH216" s="91">
        <f t="shared" si="127"/>
        <v>241.09628857865704</v>
      </c>
      <c r="CI216" s="91">
        <f t="shared" si="127"/>
        <v>246.36387400307871</v>
      </c>
      <c r="CJ216" s="91">
        <f t="shared" si="127"/>
        <v>251.74654811827685</v>
      </c>
      <c r="CK216" s="91">
        <f t="shared" si="127"/>
        <v>257.2468254362484</v>
      </c>
      <c r="CL216" s="91">
        <f t="shared" si="127"/>
        <v>262.86727540723433</v>
      </c>
      <c r="CM216" s="91">
        <f t="shared" si="127"/>
        <v>268.61052362003642</v>
      </c>
      <c r="CN216" s="91">
        <f t="shared" si="127"/>
        <v>274.4792530285589</v>
      </c>
      <c r="CO216" s="91">
        <f t="shared" si="127"/>
        <v>280.47620520514823</v>
      </c>
      <c r="CP216" s="91">
        <f t="shared" si="127"/>
        <v>286.60418162131663</v>
      </c>
      <c r="CQ216" s="88" t="s">
        <v>150</v>
      </c>
    </row>
    <row r="217" spans="1:95" outlineLevel="1" x14ac:dyDescent="0.25">
      <c r="B217" t="s">
        <v>100</v>
      </c>
      <c r="D217" s="91">
        <f t="shared" ref="D217:BO217" si="128">PM10_damage_base_value_central*(GDP_household/GDP_household_base_values)*(Price_adjustment)</f>
        <v>92.72</v>
      </c>
      <c r="E217" s="91">
        <f t="shared" si="128"/>
        <v>93.516958258296071</v>
      </c>
      <c r="F217" s="91">
        <f t="shared" si="128"/>
        <v>94.015060915830986</v>
      </c>
      <c r="G217" s="91">
        <f t="shared" si="128"/>
        <v>95.667976503321555</v>
      </c>
      <c r="H217" s="91">
        <f t="shared" si="128"/>
        <v>98.424505242479313</v>
      </c>
      <c r="I217" s="91">
        <f t="shared" si="128"/>
        <v>99.549536573182664</v>
      </c>
      <c r="J217" s="91">
        <f t="shared" si="128"/>
        <v>100.56158733495784</v>
      </c>
      <c r="K217" s="91">
        <f t="shared" si="128"/>
        <v>101.81501699231659</v>
      </c>
      <c r="L217" s="91">
        <f t="shared" si="128"/>
        <v>102.9984220921894</v>
      </c>
      <c r="M217" s="91">
        <f t="shared" si="128"/>
        <v>104.20472212696427</v>
      </c>
      <c r="N217" s="91">
        <f t="shared" si="128"/>
        <v>105.44814202750212</v>
      </c>
      <c r="O217" s="91">
        <f t="shared" si="128"/>
        <v>107.02755331081035</v>
      </c>
      <c r="P217" s="91">
        <f t="shared" si="128"/>
        <v>108.66207268087544</v>
      </c>
      <c r="Q217" s="91">
        <f t="shared" si="128"/>
        <v>110.33944691370104</v>
      </c>
      <c r="R217" s="91">
        <f t="shared" si="128"/>
        <v>112.15532567403517</v>
      </c>
      <c r="S217" s="91">
        <f t="shared" si="128"/>
        <v>114.02395474998546</v>
      </c>
      <c r="T217" s="91">
        <f t="shared" si="128"/>
        <v>115.91885197638419</v>
      </c>
      <c r="U217" s="91">
        <f t="shared" si="128"/>
        <v>117.86731324498253</v>
      </c>
      <c r="V217" s="91">
        <f t="shared" si="128"/>
        <v>119.87355489997009</v>
      </c>
      <c r="W217" s="91">
        <f t="shared" si="128"/>
        <v>121.9351103050397</v>
      </c>
      <c r="X217" s="91">
        <f t="shared" si="128"/>
        <v>124.05621603402341</v>
      </c>
      <c r="Y217" s="91">
        <f t="shared" si="128"/>
        <v>126.2215361691519</v>
      </c>
      <c r="Z217" s="91">
        <f t="shared" si="128"/>
        <v>128.46121152128825</v>
      </c>
      <c r="AA217" s="91">
        <f t="shared" si="128"/>
        <v>130.77103945382012</v>
      </c>
      <c r="AB217" s="91">
        <f t="shared" si="128"/>
        <v>133.58260817283838</v>
      </c>
      <c r="AC217" s="91">
        <f t="shared" si="128"/>
        <v>136.33632359542401</v>
      </c>
      <c r="AD217" s="91">
        <f t="shared" si="128"/>
        <v>139.15968218464664</v>
      </c>
      <c r="AE217" s="91">
        <f t="shared" si="128"/>
        <v>142.05245091960046</v>
      </c>
      <c r="AF217" s="91">
        <f t="shared" si="128"/>
        <v>145.02471869872008</v>
      </c>
      <c r="AG217" s="91">
        <f t="shared" si="128"/>
        <v>148.0591774199431</v>
      </c>
      <c r="AH217" s="91">
        <f t="shared" si="128"/>
        <v>151.15712835003526</v>
      </c>
      <c r="AI217" s="91">
        <f t="shared" si="128"/>
        <v>154.3198999831227</v>
      </c>
      <c r="AJ217" s="91">
        <f t="shared" si="128"/>
        <v>157.57729500454641</v>
      </c>
      <c r="AK217" s="91">
        <f t="shared" si="128"/>
        <v>160.9034473432491</v>
      </c>
      <c r="AL217" s="91">
        <f t="shared" si="128"/>
        <v>164.29980833339451</v>
      </c>
      <c r="AM217" s="91">
        <f t="shared" si="128"/>
        <v>167.76785994400728</v>
      </c>
      <c r="AN217" s="91">
        <f t="shared" si="128"/>
        <v>171.47624626993354</v>
      </c>
      <c r="AO217" s="91">
        <f t="shared" si="128"/>
        <v>175.1419463671468</v>
      </c>
      <c r="AP217" s="91">
        <f t="shared" si="128"/>
        <v>178.88600925509641</v>
      </c>
      <c r="AQ217" s="91">
        <f t="shared" si="128"/>
        <v>182.71011011909738</v>
      </c>
      <c r="AR217" s="91">
        <f t="shared" si="128"/>
        <v>186.61595995541288</v>
      </c>
      <c r="AS217" s="91">
        <f t="shared" si="128"/>
        <v>190.41934994036976</v>
      </c>
      <c r="AT217" s="91">
        <f t="shared" si="128"/>
        <v>194.36196672847146</v>
      </c>
      <c r="AU217" s="91">
        <f t="shared" si="128"/>
        <v>198.38621506894785</v>
      </c>
      <c r="AV217" s="91">
        <f t="shared" si="128"/>
        <v>202.49378513629512</v>
      </c>
      <c r="AW217" s="91">
        <f t="shared" si="128"/>
        <v>206.68640209993151</v>
      </c>
      <c r="AX217" s="91">
        <f t="shared" si="128"/>
        <v>210.96582684876464</v>
      </c>
      <c r="AY217" s="91">
        <f t="shared" si="128"/>
        <v>215.38444616817799</v>
      </c>
      <c r="AZ217" s="91">
        <f t="shared" si="128"/>
        <v>220.11035402294954</v>
      </c>
      <c r="BA217" s="91">
        <f t="shared" si="128"/>
        <v>224.93995648264325</v>
      </c>
      <c r="BB217" s="91">
        <f t="shared" si="128"/>
        <v>230.09979759509127</v>
      </c>
      <c r="BC217" s="91">
        <f t="shared" si="128"/>
        <v>235.37799900564741</v>
      </c>
      <c r="BD217" s="91">
        <f t="shared" si="128"/>
        <v>240.79128121207452</v>
      </c>
      <c r="BE217" s="91">
        <f t="shared" si="128"/>
        <v>246.32264903022568</v>
      </c>
      <c r="BF217" s="91">
        <f t="shared" si="128"/>
        <v>251.73548577819483</v>
      </c>
      <c r="BG217" s="91">
        <f t="shared" si="128"/>
        <v>257.26726734011231</v>
      </c>
      <c r="BH217" s="91">
        <f t="shared" si="128"/>
        <v>262.92060747830351</v>
      </c>
      <c r="BI217" s="91">
        <f t="shared" si="128"/>
        <v>268.66231230829862</v>
      </c>
      <c r="BJ217" s="91">
        <f t="shared" si="128"/>
        <v>274.52940546243843</v>
      </c>
      <c r="BK217" s="91">
        <f t="shared" si="128"/>
        <v>280.52462519221734</v>
      </c>
      <c r="BL217" s="91">
        <f t="shared" si="128"/>
        <v>286.65076954753062</v>
      </c>
      <c r="BM217" s="91">
        <f t="shared" si="128"/>
        <v>292.9106976825617</v>
      </c>
      <c r="BN217" s="91">
        <f t="shared" si="128"/>
        <v>299.26176060304243</v>
      </c>
      <c r="BO217" s="91">
        <f t="shared" si="128"/>
        <v>305.75053102461163</v>
      </c>
      <c r="BP217" s="91">
        <f t="shared" ref="BP217:CP217" si="129">PM10_damage_base_value_central*(GDP_household/GDP_household_base_values)*(Price_adjustment)</f>
        <v>312.37999480272242</v>
      </c>
      <c r="BQ217" s="91">
        <f t="shared" si="129"/>
        <v>319.15320253391161</v>
      </c>
      <c r="BR217" s="91">
        <f t="shared" si="129"/>
        <v>326.07327095955338</v>
      </c>
      <c r="BS217" s="91">
        <f t="shared" si="129"/>
        <v>333.13386770675396</v>
      </c>
      <c r="BT217" s="91">
        <f t="shared" si="129"/>
        <v>340.34735041814253</v>
      </c>
      <c r="BU217" s="91">
        <f t="shared" si="129"/>
        <v>347.71702959549145</v>
      </c>
      <c r="BV217" s="91">
        <f t="shared" si="129"/>
        <v>355.24628742421032</v>
      </c>
      <c r="BW217" s="91">
        <f t="shared" si="129"/>
        <v>362.93857932554067</v>
      </c>
      <c r="BX217" s="91">
        <f t="shared" si="129"/>
        <v>370.82875355338484</v>
      </c>
      <c r="BY217" s="91">
        <f t="shared" si="129"/>
        <v>378.89045776699515</v>
      </c>
      <c r="BZ217" s="91">
        <f t="shared" si="129"/>
        <v>387.12742097604473</v>
      </c>
      <c r="CA217" s="91">
        <f t="shared" si="129"/>
        <v>395.54345325774165</v>
      </c>
      <c r="CB217" s="91">
        <f t="shared" si="129"/>
        <v>404.14244751921245</v>
      </c>
      <c r="CC217" s="91">
        <f t="shared" si="129"/>
        <v>412.95397566155935</v>
      </c>
      <c r="CD217" s="91">
        <f t="shared" si="129"/>
        <v>421.97306565471803</v>
      </c>
      <c r="CE217" s="91">
        <f t="shared" si="129"/>
        <v>431.18913639899893</v>
      </c>
      <c r="CF217" s="91">
        <f t="shared" si="129"/>
        <v>440.60649003756066</v>
      </c>
      <c r="CG217" s="91">
        <f t="shared" si="129"/>
        <v>450.22952267419362</v>
      </c>
      <c r="CH217" s="91">
        <f t="shared" si="129"/>
        <v>460.06272642545952</v>
      </c>
      <c r="CI217" s="91">
        <f t="shared" si="129"/>
        <v>470.11439385810775</v>
      </c>
      <c r="CJ217" s="91">
        <f t="shared" si="129"/>
        <v>480.38567486163055</v>
      </c>
      <c r="CK217" s="91">
        <f t="shared" si="129"/>
        <v>490.88136765690371</v>
      </c>
      <c r="CL217" s="91">
        <f t="shared" si="129"/>
        <v>501.60637529859571</v>
      </c>
      <c r="CM217" s="91">
        <f t="shared" si="129"/>
        <v>512.56570796562607</v>
      </c>
      <c r="CN217" s="91">
        <f t="shared" si="129"/>
        <v>523.76448530166658</v>
      </c>
      <c r="CO217" s="91">
        <f t="shared" si="129"/>
        <v>535.20793880677797</v>
      </c>
      <c r="CP217" s="91">
        <f t="shared" si="129"/>
        <v>546.90141428130221</v>
      </c>
      <c r="CQ217" s="88" t="s">
        <v>149</v>
      </c>
    </row>
    <row r="218" spans="1:95" outlineLevel="1" x14ac:dyDescent="0.25">
      <c r="B218" t="s">
        <v>102</v>
      </c>
      <c r="D218" s="91">
        <f t="shared" ref="D218:BO218" si="130">PM10_damage_base_value_high*(GDP_household/GDP_household_base_values)*(Price_adjustment)</f>
        <v>105.36</v>
      </c>
      <c r="E218" s="91">
        <f t="shared" si="130"/>
        <v>106.26560312871089</v>
      </c>
      <c r="F218" s="91">
        <f t="shared" si="130"/>
        <v>106.83160934093996</v>
      </c>
      <c r="G218" s="91">
        <f t="shared" si="130"/>
        <v>108.70985768323942</v>
      </c>
      <c r="H218" s="91">
        <f t="shared" si="130"/>
        <v>111.84216859736432</v>
      </c>
      <c r="I218" s="91">
        <f t="shared" si="130"/>
        <v>113.12056916900913</v>
      </c>
      <c r="J218" s="91">
        <f t="shared" si="130"/>
        <v>114.27058716146632</v>
      </c>
      <c r="K218" s="91">
        <f t="shared" si="130"/>
        <v>115.69488988686881</v>
      </c>
      <c r="L218" s="91">
        <f t="shared" si="130"/>
        <v>117.03962199776828</v>
      </c>
      <c r="M218" s="91">
        <f t="shared" si="130"/>
        <v>118.41037018223636</v>
      </c>
      <c r="N218" s="91">
        <f t="shared" si="130"/>
        <v>119.82329857654899</v>
      </c>
      <c r="O218" s="91">
        <f t="shared" si="130"/>
        <v>121.61802218320727</v>
      </c>
      <c r="P218" s="91">
        <f t="shared" si="130"/>
        <v>123.47536645445466</v>
      </c>
      <c r="Q218" s="91">
        <f t="shared" si="130"/>
        <v>125.38140775266979</v>
      </c>
      <c r="R218" s="91">
        <f t="shared" si="130"/>
        <v>127.44483512744118</v>
      </c>
      <c r="S218" s="91">
        <f t="shared" si="130"/>
        <v>129.56820397388339</v>
      </c>
      <c r="T218" s="91">
        <f t="shared" si="130"/>
        <v>131.72142196108541</v>
      </c>
      <c r="U218" s="91">
        <f t="shared" si="130"/>
        <v>133.93550607734426</v>
      </c>
      <c r="V218" s="91">
        <f t="shared" si="130"/>
        <v>136.21524745751563</v>
      </c>
      <c r="W218" s="91">
        <f t="shared" si="130"/>
        <v>138.55784320253434</v>
      </c>
      <c r="X218" s="91">
        <f t="shared" si="130"/>
        <v>140.96810743469268</v>
      </c>
      <c r="Y218" s="91">
        <f t="shared" si="130"/>
        <v>143.42861357616312</v>
      </c>
      <c r="Z218" s="91">
        <f t="shared" si="130"/>
        <v>145.97361136629561</v>
      </c>
      <c r="AA218" s="91">
        <f t="shared" si="130"/>
        <v>148.59832524648931</v>
      </c>
      <c r="AB218" s="91">
        <f t="shared" si="130"/>
        <v>151.79317943367397</v>
      </c>
      <c r="AC218" s="91">
        <f t="shared" si="130"/>
        <v>154.92229350748354</v>
      </c>
      <c r="AD218" s="91">
        <f t="shared" si="130"/>
        <v>158.1305448120618</v>
      </c>
      <c r="AE218" s="91">
        <f t="shared" si="130"/>
        <v>161.41766856006367</v>
      </c>
      <c r="AF218" s="91">
        <f t="shared" si="130"/>
        <v>164.79512901312711</v>
      </c>
      <c r="AG218" s="91">
        <f t="shared" si="130"/>
        <v>168.24325855225629</v>
      </c>
      <c r="AH218" s="91">
        <f t="shared" si="130"/>
        <v>171.76353583865094</v>
      </c>
      <c r="AI218" s="91">
        <f t="shared" si="130"/>
        <v>175.35747047262518</v>
      </c>
      <c r="AJ218" s="91">
        <f t="shared" si="130"/>
        <v>179.05892797324213</v>
      </c>
      <c r="AK218" s="91">
        <f t="shared" si="130"/>
        <v>182.83851609237195</v>
      </c>
      <c r="AL218" s="91">
        <f t="shared" si="130"/>
        <v>186.69788401646295</v>
      </c>
      <c r="AM218" s="91">
        <f t="shared" si="130"/>
        <v>190.63871574310406</v>
      </c>
      <c r="AN218" s="91">
        <f t="shared" si="130"/>
        <v>194.85264567515313</v>
      </c>
      <c r="AO218" s="91">
        <f t="shared" si="130"/>
        <v>199.0180702032203</v>
      </c>
      <c r="AP218" s="91">
        <f t="shared" si="130"/>
        <v>203.2725402838326</v>
      </c>
      <c r="AQ218" s="91">
        <f t="shared" si="130"/>
        <v>207.61795947096743</v>
      </c>
      <c r="AR218" s="91">
        <f t="shared" si="130"/>
        <v>212.05627201145708</v>
      </c>
      <c r="AS218" s="91">
        <f t="shared" si="130"/>
        <v>216.37815692102416</v>
      </c>
      <c r="AT218" s="91">
        <f t="shared" si="130"/>
        <v>220.85824864658923</v>
      </c>
      <c r="AU218" s="91">
        <f t="shared" si="130"/>
        <v>225.43110029836438</v>
      </c>
      <c r="AV218" s="91">
        <f t="shared" si="130"/>
        <v>230.09863246289962</v>
      </c>
      <c r="AW218" s="91">
        <f t="shared" si="130"/>
        <v>234.86280549232944</v>
      </c>
      <c r="AX218" s="91">
        <f t="shared" si="130"/>
        <v>239.72562032771614</v>
      </c>
      <c r="AY218" s="91">
        <f t="shared" si="130"/>
        <v>244.74660535245073</v>
      </c>
      <c r="AZ218" s="91">
        <f t="shared" si="130"/>
        <v>250.11676984316179</v>
      </c>
      <c r="BA218" s="91">
        <f t="shared" si="130"/>
        <v>255.60476504541947</v>
      </c>
      <c r="BB218" s="91">
        <f t="shared" si="130"/>
        <v>261.46801849243764</v>
      </c>
      <c r="BC218" s="91">
        <f t="shared" si="130"/>
        <v>267.46576763627058</v>
      </c>
      <c r="BD218" s="91">
        <f t="shared" si="130"/>
        <v>273.61701238680081</v>
      </c>
      <c r="BE218" s="91">
        <f t="shared" si="130"/>
        <v>279.90244070130046</v>
      </c>
      <c r="BF218" s="91">
        <f t="shared" si="130"/>
        <v>286.05317926650781</v>
      </c>
      <c r="BG218" s="91">
        <f t="shared" si="130"/>
        <v>292.33907772815178</v>
      </c>
      <c r="BH218" s="91">
        <f t="shared" si="130"/>
        <v>298.76310616818438</v>
      </c>
      <c r="BI218" s="91">
        <f t="shared" si="130"/>
        <v>305.28754556516759</v>
      </c>
      <c r="BJ218" s="91">
        <f t="shared" si="130"/>
        <v>311.95446677655855</v>
      </c>
      <c r="BK218" s="91">
        <f t="shared" si="130"/>
        <v>318.76698134439192</v>
      </c>
      <c r="BL218" s="91">
        <f t="shared" si="130"/>
        <v>325.72826876108525</v>
      </c>
      <c r="BM218" s="91">
        <f t="shared" si="130"/>
        <v>332.84157795335096</v>
      </c>
      <c r="BN218" s="91">
        <f t="shared" si="130"/>
        <v>340.05844582761597</v>
      </c>
      <c r="BO218" s="91">
        <f t="shared" si="130"/>
        <v>347.43179409785461</v>
      </c>
      <c r="BP218" s="91">
        <f t="shared" ref="BP218:CP218" si="131">PM10_damage_base_value_high*(GDP_household/GDP_household_base_values)*(Price_adjustment)</f>
        <v>354.96501566452582</v>
      </c>
      <c r="BQ218" s="91">
        <f t="shared" si="131"/>
        <v>362.6615769949625</v>
      </c>
      <c r="BR218" s="91">
        <f t="shared" si="131"/>
        <v>370.52501971849165</v>
      </c>
      <c r="BS218" s="91">
        <f t="shared" si="131"/>
        <v>378.54814820517248</v>
      </c>
      <c r="BT218" s="91">
        <f t="shared" si="131"/>
        <v>386.74500474606873</v>
      </c>
      <c r="BU218" s="91">
        <f t="shared" si="131"/>
        <v>395.11935114517883</v>
      </c>
      <c r="BV218" s="91">
        <f t="shared" si="131"/>
        <v>403.67503066236844</v>
      </c>
      <c r="BW218" s="91">
        <f t="shared" si="131"/>
        <v>412.41596977716745</v>
      </c>
      <c r="BX218" s="91">
        <f t="shared" si="131"/>
        <v>421.38176741139586</v>
      </c>
      <c r="BY218" s="91">
        <f t="shared" si="131"/>
        <v>430.54247875680124</v>
      </c>
      <c r="BZ218" s="91">
        <f t="shared" si="131"/>
        <v>439.90234117812849</v>
      </c>
      <c r="CA218" s="91">
        <f t="shared" si="131"/>
        <v>449.46568415914214</v>
      </c>
      <c r="CB218" s="91">
        <f t="shared" si="131"/>
        <v>459.23693130526561</v>
      </c>
      <c r="CC218" s="91">
        <f t="shared" si="131"/>
        <v>469.24968588979613</v>
      </c>
      <c r="CD218" s="91">
        <f t="shared" si="131"/>
        <v>479.49829807356656</v>
      </c>
      <c r="CE218" s="91">
        <f t="shared" si="131"/>
        <v>489.97074429463464</v>
      </c>
      <c r="CF218" s="91">
        <f t="shared" si="131"/>
        <v>500.67191318331953</v>
      </c>
      <c r="CG218" s="91">
        <f t="shared" si="131"/>
        <v>511.60680013970062</v>
      </c>
      <c r="CH218" s="91">
        <f t="shared" si="131"/>
        <v>522.78050966551359</v>
      </c>
      <c r="CI218" s="91">
        <f t="shared" si="131"/>
        <v>534.20246480684034</v>
      </c>
      <c r="CJ218" s="91">
        <f t="shared" si="131"/>
        <v>545.87397221118852</v>
      </c>
      <c r="CK218" s="91">
        <f t="shared" si="131"/>
        <v>557.80048421410027</v>
      </c>
      <c r="CL218" s="91">
        <f t="shared" si="131"/>
        <v>569.98757227631631</v>
      </c>
      <c r="CM218" s="91">
        <f t="shared" si="131"/>
        <v>582.44092958647934</v>
      </c>
      <c r="CN218" s="91">
        <f t="shared" si="131"/>
        <v>595.16637372070306</v>
      </c>
      <c r="CO218" s="91">
        <f t="shared" si="131"/>
        <v>608.16984936024721</v>
      </c>
      <c r="CP218" s="91">
        <f t="shared" si="131"/>
        <v>621.45743106857208</v>
      </c>
      <c r="CQ218" s="88" t="s">
        <v>151</v>
      </c>
    </row>
    <row r="219" spans="1:95" outlineLevel="1" x14ac:dyDescent="0.25">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88"/>
    </row>
    <row r="220" spans="1:95" ht="31.5" outlineLevel="1" x14ac:dyDescent="0.25">
      <c r="A220" s="56"/>
      <c r="B220" s="110" t="s">
        <v>243</v>
      </c>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row>
    <row r="221" spans="1:95" outlineLevel="1" x14ac:dyDescent="0.25">
      <c r="B221" s="52" t="s">
        <v>358</v>
      </c>
    </row>
    <row r="222" spans="1:95" outlineLevel="1" x14ac:dyDescent="0.25">
      <c r="B222" t="s">
        <v>72</v>
      </c>
      <c r="D222" s="67">
        <f t="shared" ref="D222:BO222" si="132">Change_NOx_emissions_not_in_exceedance*-(NOx_damage_costs_low)</f>
        <v>0</v>
      </c>
      <c r="E222" s="67">
        <f t="shared" si="132"/>
        <v>0</v>
      </c>
      <c r="F222" s="67">
        <f t="shared" si="132"/>
        <v>0</v>
      </c>
      <c r="G222" s="67">
        <f t="shared" si="132"/>
        <v>0</v>
      </c>
      <c r="H222" s="67">
        <f t="shared" si="132"/>
        <v>0</v>
      </c>
      <c r="I222" s="67">
        <f t="shared" si="132"/>
        <v>0</v>
      </c>
      <c r="J222" s="67">
        <f t="shared" si="132"/>
        <v>0</v>
      </c>
      <c r="K222" s="67">
        <f t="shared" si="132"/>
        <v>0</v>
      </c>
      <c r="L222" s="67">
        <f t="shared" si="132"/>
        <v>0</v>
      </c>
      <c r="M222" s="67">
        <f t="shared" si="132"/>
        <v>0</v>
      </c>
      <c r="N222" s="67">
        <f t="shared" si="132"/>
        <v>0</v>
      </c>
      <c r="O222" s="67">
        <f t="shared" si="132"/>
        <v>0</v>
      </c>
      <c r="P222" s="67">
        <f t="shared" si="132"/>
        <v>0</v>
      </c>
      <c r="Q222" s="67">
        <f t="shared" si="132"/>
        <v>0</v>
      </c>
      <c r="R222" s="67">
        <f t="shared" si="132"/>
        <v>0</v>
      </c>
      <c r="S222" s="67">
        <f t="shared" si="132"/>
        <v>0</v>
      </c>
      <c r="T222" s="67">
        <f t="shared" si="132"/>
        <v>-509.16791033163014</v>
      </c>
      <c r="U222" s="67">
        <f t="shared" si="132"/>
        <v>-618.34192658612301</v>
      </c>
      <c r="V222" s="67">
        <f t="shared" si="132"/>
        <v>-731.68643462656723</v>
      </c>
      <c r="W222" s="67">
        <f t="shared" si="132"/>
        <v>-849.3754922881094</v>
      </c>
      <c r="X222" s="67">
        <f t="shared" si="132"/>
        <v>-971.58684197450907</v>
      </c>
      <c r="Y222" s="67">
        <f t="shared" si="132"/>
        <v>-1098.5026553408084</v>
      </c>
      <c r="Z222" s="67">
        <f t="shared" si="132"/>
        <v>-1230.3071054129048</v>
      </c>
      <c r="AA222" s="67">
        <f t="shared" si="132"/>
        <v>-1367.184440639078</v>
      </c>
      <c r="AB222" s="67">
        <f t="shared" si="132"/>
        <v>-1510.7875988157471</v>
      </c>
      <c r="AC222" s="67">
        <f t="shared" si="132"/>
        <v>-1658.4945867731694</v>
      </c>
      <c r="AD222" s="67">
        <f t="shared" si="132"/>
        <v>-1811.8169818498629</v>
      </c>
      <c r="AE222" s="67">
        <f t="shared" si="132"/>
        <v>-1849.4799560409028</v>
      </c>
      <c r="AF222" s="67">
        <f t="shared" si="132"/>
        <v>-1888.177983747438</v>
      </c>
      <c r="AG222" s="67">
        <f t="shared" si="132"/>
        <v>-1927.6857187143755</v>
      </c>
      <c r="AH222" s="67">
        <f t="shared" si="132"/>
        <v>-1968.0201030415185</v>
      </c>
      <c r="AI222" s="67">
        <f t="shared" si="132"/>
        <v>-2009.1984333206674</v>
      </c>
      <c r="AJ222" s="67">
        <f t="shared" si="132"/>
        <v>-2051.6087315029945</v>
      </c>
      <c r="AK222" s="67">
        <f t="shared" si="132"/>
        <v>-2094.9142291649173</v>
      </c>
      <c r="AL222" s="67">
        <f t="shared" si="132"/>
        <v>-2139.1338222383829</v>
      </c>
      <c r="AM222" s="67">
        <f t="shared" si="132"/>
        <v>-2184.2868055119625</v>
      </c>
      <c r="AN222" s="67">
        <f t="shared" si="132"/>
        <v>-2232.568874104631</v>
      </c>
      <c r="AO222" s="67">
        <f t="shared" si="132"/>
        <v>-2280.2951809072515</v>
      </c>
      <c r="AP222" s="67">
        <f t="shared" si="132"/>
        <v>-2329.0417475493055</v>
      </c>
      <c r="AQ222" s="67">
        <f t="shared" si="132"/>
        <v>-2378.8303844370389</v>
      </c>
      <c r="AR222" s="67">
        <f t="shared" si="132"/>
        <v>-2429.6833682244128</v>
      </c>
      <c r="AS222" s="67">
        <f t="shared" si="132"/>
        <v>-2479.2023557297089</v>
      </c>
      <c r="AT222" s="67">
        <f t="shared" si="132"/>
        <v>-2530.5340341114593</v>
      </c>
      <c r="AU222" s="67">
        <f t="shared" si="132"/>
        <v>-2582.9285306207421</v>
      </c>
      <c r="AV222" s="67">
        <f t="shared" si="132"/>
        <v>-2636.4078508184061</v>
      </c>
      <c r="AW222" s="67">
        <f t="shared" si="132"/>
        <v>-2690.9944558886091</v>
      </c>
      <c r="AX222" s="67">
        <f t="shared" si="132"/>
        <v>-2746.7112720724544</v>
      </c>
      <c r="AY222" s="67">
        <f t="shared" si="132"/>
        <v>-2804.240359474511</v>
      </c>
      <c r="AZ222" s="67">
        <f t="shared" si="132"/>
        <v>-2865.7702506866185</v>
      </c>
      <c r="BA222" s="67">
        <f t="shared" si="132"/>
        <v>-2928.6502142988256</v>
      </c>
      <c r="BB222" s="67">
        <f t="shared" si="132"/>
        <v>-2995.8297853097451</v>
      </c>
      <c r="BC222" s="67">
        <f t="shared" si="132"/>
        <v>-3064.5503716113185</v>
      </c>
      <c r="BD222" s="67">
        <f t="shared" si="132"/>
        <v>-3135.0296690283431</v>
      </c>
      <c r="BE222" s="67">
        <f t="shared" si="132"/>
        <v>-3207.0464054023628</v>
      </c>
      <c r="BF222" s="67">
        <f t="shared" si="132"/>
        <v>-3277.5199030849653</v>
      </c>
      <c r="BG222" s="67">
        <f t="shared" si="132"/>
        <v>-3349.5420262777111</v>
      </c>
      <c r="BH222" s="67">
        <f t="shared" si="132"/>
        <v>-3423.1468053757076</v>
      </c>
      <c r="BI222" s="67">
        <f t="shared" si="132"/>
        <v>-3497.9020660405836</v>
      </c>
      <c r="BJ222" s="67">
        <f t="shared" si="132"/>
        <v>-3574.2898447699195</v>
      </c>
      <c r="BK222" s="67">
        <f t="shared" si="132"/>
        <v>-3652.3457927701602</v>
      </c>
      <c r="BL222" s="67">
        <f t="shared" si="132"/>
        <v>-3732.1063398048445</v>
      </c>
      <c r="BM222" s="67">
        <f t="shared" si="132"/>
        <v>-3813.6087111968673</v>
      </c>
      <c r="BN222" s="67">
        <f t="shared" si="132"/>
        <v>-3896.2976299373959</v>
      </c>
      <c r="BO222" s="67">
        <f t="shared" si="132"/>
        <v>-3980.7794587010226</v>
      </c>
      <c r="BP222" s="67">
        <f t="shared" ref="BP222:CP222" si="133">Change_NOx_emissions_not_in_exceedance*-(NOx_damage_costs_low)</f>
        <v>-4067.0930724228633</v>
      </c>
      <c r="BQ222" s="67">
        <f t="shared" si="133"/>
        <v>-4155.2781889473617</v>
      </c>
      <c r="BR222" s="67">
        <f t="shared" si="133"/>
        <v>-4245.3753873047481</v>
      </c>
      <c r="BS222" s="67">
        <f t="shared" si="133"/>
        <v>-4337.3022219147751</v>
      </c>
      <c r="BT222" s="67">
        <f t="shared" si="133"/>
        <v>-4431.2195855476739</v>
      </c>
      <c r="BU222" s="67">
        <f t="shared" si="133"/>
        <v>-4527.1705799354668</v>
      </c>
      <c r="BV222" s="67">
        <f t="shared" si="133"/>
        <v>-4625.1992401094549</v>
      </c>
      <c r="BW222" s="67">
        <f t="shared" si="133"/>
        <v>-4725.3505546093247</v>
      </c>
      <c r="BX222" s="67">
        <f t="shared" si="133"/>
        <v>-4828.0782371631958</v>
      </c>
      <c r="BY222" s="67">
        <f t="shared" si="133"/>
        <v>-4933.0391882631639</v>
      </c>
      <c r="BZ222" s="67">
        <f t="shared" si="133"/>
        <v>-5040.2819584875642</v>
      </c>
      <c r="CA222" s="67">
        <f t="shared" si="133"/>
        <v>-5149.8561538895228</v>
      </c>
      <c r="CB222" s="67">
        <f t="shared" si="133"/>
        <v>0</v>
      </c>
      <c r="CC222" s="67">
        <f t="shared" si="133"/>
        <v>0</v>
      </c>
      <c r="CD222" s="67">
        <f t="shared" si="133"/>
        <v>0</v>
      </c>
      <c r="CE222" s="67">
        <f t="shared" si="133"/>
        <v>0</v>
      </c>
      <c r="CF222" s="67">
        <f t="shared" si="133"/>
        <v>0</v>
      </c>
      <c r="CG222" s="67">
        <f t="shared" si="133"/>
        <v>0</v>
      </c>
      <c r="CH222" s="67">
        <f t="shared" si="133"/>
        <v>0</v>
      </c>
      <c r="CI222" s="67">
        <f t="shared" si="133"/>
        <v>0</v>
      </c>
      <c r="CJ222" s="67">
        <f t="shared" si="133"/>
        <v>0</v>
      </c>
      <c r="CK222" s="67">
        <f t="shared" si="133"/>
        <v>0</v>
      </c>
      <c r="CL222" s="67">
        <f t="shared" si="133"/>
        <v>0</v>
      </c>
      <c r="CM222" s="67">
        <f t="shared" si="133"/>
        <v>0</v>
      </c>
      <c r="CN222" s="67">
        <f t="shared" si="133"/>
        <v>0</v>
      </c>
      <c r="CO222" s="67">
        <f t="shared" si="133"/>
        <v>0</v>
      </c>
      <c r="CP222" s="67">
        <f t="shared" si="133"/>
        <v>0</v>
      </c>
      <c r="CQ222" s="52" t="s">
        <v>240</v>
      </c>
    </row>
    <row r="223" spans="1:95" outlineLevel="1" x14ac:dyDescent="0.25">
      <c r="B223" t="s">
        <v>73</v>
      </c>
      <c r="D223" s="67">
        <f t="shared" ref="D223:BO223" si="134">Change_NOx_emissions_not_in_exceedance*-(NOx_damage_costs_central)</f>
        <v>0</v>
      </c>
      <c r="E223" s="67">
        <f t="shared" si="134"/>
        <v>0</v>
      </c>
      <c r="F223" s="67">
        <f t="shared" si="134"/>
        <v>0</v>
      </c>
      <c r="G223" s="67">
        <f t="shared" si="134"/>
        <v>0</v>
      </c>
      <c r="H223" s="67">
        <f t="shared" si="134"/>
        <v>0</v>
      </c>
      <c r="I223" s="67">
        <f t="shared" si="134"/>
        <v>0</v>
      </c>
      <c r="J223" s="67">
        <f t="shared" si="134"/>
        <v>0</v>
      </c>
      <c r="K223" s="67">
        <f t="shared" si="134"/>
        <v>0</v>
      </c>
      <c r="L223" s="67">
        <f t="shared" si="134"/>
        <v>0</v>
      </c>
      <c r="M223" s="67">
        <f t="shared" si="134"/>
        <v>0</v>
      </c>
      <c r="N223" s="67">
        <f t="shared" si="134"/>
        <v>0</v>
      </c>
      <c r="O223" s="67">
        <f t="shared" si="134"/>
        <v>0</v>
      </c>
      <c r="P223" s="67">
        <f t="shared" si="134"/>
        <v>0</v>
      </c>
      <c r="Q223" s="67">
        <f t="shared" si="134"/>
        <v>0</v>
      </c>
      <c r="R223" s="67">
        <f t="shared" si="134"/>
        <v>0</v>
      </c>
      <c r="S223" s="67">
        <f t="shared" si="134"/>
        <v>0</v>
      </c>
      <c r="T223" s="67">
        <f t="shared" si="134"/>
        <v>-653.56902468643375</v>
      </c>
      <c r="U223" s="67">
        <f t="shared" si="134"/>
        <v>-793.70502673353155</v>
      </c>
      <c r="V223" s="67">
        <f t="shared" si="134"/>
        <v>-939.19428100587584</v>
      </c>
      <c r="W223" s="67">
        <f t="shared" si="134"/>
        <v>-1090.260208514979</v>
      </c>
      <c r="X223" s="67">
        <f t="shared" si="134"/>
        <v>-1247.1309597925485</v>
      </c>
      <c r="Y223" s="67">
        <f t="shared" si="134"/>
        <v>-1410.0403707667635</v>
      </c>
      <c r="Z223" s="67">
        <f t="shared" si="134"/>
        <v>-1579.2248463297365</v>
      </c>
      <c r="AA223" s="67">
        <f t="shared" si="134"/>
        <v>-1754.9208881859133</v>
      </c>
      <c r="AB223" s="67">
        <f t="shared" si="134"/>
        <v>-1939.2502108454814</v>
      </c>
      <c r="AC223" s="67">
        <f t="shared" si="134"/>
        <v>-2128.8472182370656</v>
      </c>
      <c r="AD223" s="67">
        <f t="shared" si="134"/>
        <v>-2325.6521742830901</v>
      </c>
      <c r="AE223" s="67">
        <f t="shared" si="134"/>
        <v>-2373.9964489503527</v>
      </c>
      <c r="AF223" s="67">
        <f t="shared" si="134"/>
        <v>-2423.6693205360257</v>
      </c>
      <c r="AG223" s="67">
        <f t="shared" si="134"/>
        <v>-2474.3815341024579</v>
      </c>
      <c r="AH223" s="67">
        <f t="shared" si="134"/>
        <v>-2526.1548365653898</v>
      </c>
      <c r="AI223" s="67">
        <f t="shared" si="134"/>
        <v>-2579.0114298672547</v>
      </c>
      <c r="AJ223" s="67">
        <f t="shared" si="134"/>
        <v>-2633.4493798190319</v>
      </c>
      <c r="AK223" s="67">
        <f t="shared" si="134"/>
        <v>-2689.0364097479787</v>
      </c>
      <c r="AL223" s="67">
        <f t="shared" si="134"/>
        <v>-2745.7967745129777</v>
      </c>
      <c r="AM223" s="67">
        <f t="shared" si="134"/>
        <v>-2803.7552409461341</v>
      </c>
      <c r="AN223" s="67">
        <f t="shared" si="134"/>
        <v>-2865.7302080240893</v>
      </c>
      <c r="AO223" s="67">
        <f t="shared" si="134"/>
        <v>-2926.991798073152</v>
      </c>
      <c r="AP223" s="67">
        <f t="shared" si="134"/>
        <v>-2989.5629958462187</v>
      </c>
      <c r="AQ223" s="67">
        <f t="shared" si="134"/>
        <v>-3053.4717972276508</v>
      </c>
      <c r="AR223" s="67">
        <f t="shared" si="134"/>
        <v>-3118.746796578379</v>
      </c>
      <c r="AS223" s="67">
        <f t="shared" si="134"/>
        <v>-3182.3094754326235</v>
      </c>
      <c r="AT223" s="67">
        <f t="shared" si="134"/>
        <v>-3248.1989281941446</v>
      </c>
      <c r="AU223" s="67">
        <f t="shared" si="134"/>
        <v>-3315.4526165897964</v>
      </c>
      <c r="AV223" s="67">
        <f t="shared" si="134"/>
        <v>-3384.0987870048093</v>
      </c>
      <c r="AW223" s="67">
        <f t="shared" si="134"/>
        <v>-3454.1662706634702</v>
      </c>
      <c r="AX223" s="67">
        <f t="shared" si="134"/>
        <v>-3525.6844957381636</v>
      </c>
      <c r="AY223" s="67">
        <f t="shared" si="134"/>
        <v>-3599.5289560459114</v>
      </c>
      <c r="AZ223" s="67">
        <f t="shared" si="134"/>
        <v>-3678.5088567281196</v>
      </c>
      <c r="BA223" s="67">
        <f t="shared" si="134"/>
        <v>-3759.2217132464766</v>
      </c>
      <c r="BB223" s="67">
        <f t="shared" si="134"/>
        <v>-3845.4535550682886</v>
      </c>
      <c r="BC223" s="67">
        <f t="shared" si="134"/>
        <v>-3933.663447431195</v>
      </c>
      <c r="BD223" s="67">
        <f t="shared" si="134"/>
        <v>-4024.1308251640694</v>
      </c>
      <c r="BE223" s="67">
        <f t="shared" si="134"/>
        <v>-4116.5716628484633</v>
      </c>
      <c r="BF223" s="67">
        <f t="shared" si="134"/>
        <v>-4207.0315960297612</v>
      </c>
      <c r="BG223" s="67">
        <f t="shared" si="134"/>
        <v>-4299.4793482462564</v>
      </c>
      <c r="BH223" s="67">
        <f t="shared" si="134"/>
        <v>-4393.9586009862915</v>
      </c>
      <c r="BI223" s="67">
        <f t="shared" si="134"/>
        <v>-4489.9146143397274</v>
      </c>
      <c r="BJ223" s="67">
        <f t="shared" si="134"/>
        <v>-4587.9661313914958</v>
      </c>
      <c r="BK223" s="67">
        <f t="shared" si="134"/>
        <v>-4688.1589141068589</v>
      </c>
      <c r="BL223" s="67">
        <f t="shared" si="134"/>
        <v>-4790.5397238086371</v>
      </c>
      <c r="BM223" s="67">
        <f t="shared" si="134"/>
        <v>-4895.1563430013557</v>
      </c>
      <c r="BN223" s="67">
        <f t="shared" si="134"/>
        <v>-5001.2960169223297</v>
      </c>
      <c r="BO223" s="67">
        <f t="shared" si="134"/>
        <v>-5109.7370740046736</v>
      </c>
      <c r="BP223" s="67">
        <f t="shared" ref="BP223:CP223" si="135">Change_NOx_emissions_not_in_exceedance*-(NOx_damage_costs_central)</f>
        <v>-5220.5294141987024</v>
      </c>
      <c r="BQ223" s="67">
        <f t="shared" si="135"/>
        <v>-5333.7240194149617</v>
      </c>
      <c r="BR223" s="67">
        <f t="shared" si="135"/>
        <v>-5449.3729769839174</v>
      </c>
      <c r="BS223" s="67">
        <f t="shared" si="135"/>
        <v>-5567.3704595814652</v>
      </c>
      <c r="BT223" s="67">
        <f t="shared" si="135"/>
        <v>-5687.9229895134795</v>
      </c>
      <c r="BU223" s="67">
        <f t="shared" si="135"/>
        <v>-5811.0858922558755</v>
      </c>
      <c r="BV223" s="67">
        <f t="shared" si="135"/>
        <v>-5936.915691269528</v>
      </c>
      <c r="BW223" s="67">
        <f t="shared" si="135"/>
        <v>-6065.470133940732</v>
      </c>
      <c r="BX223" s="67">
        <f t="shared" si="135"/>
        <v>-6197.3316081866296</v>
      </c>
      <c r="BY223" s="67">
        <f t="shared" si="135"/>
        <v>-6332.059710741024</v>
      </c>
      <c r="BZ223" s="67">
        <f t="shared" si="135"/>
        <v>-6469.7167612306775</v>
      </c>
      <c r="CA223" s="67">
        <f t="shared" si="135"/>
        <v>-6610.3664340920623</v>
      </c>
      <c r="CB223" s="67">
        <f t="shared" si="135"/>
        <v>0</v>
      </c>
      <c r="CC223" s="67">
        <f t="shared" si="135"/>
        <v>0</v>
      </c>
      <c r="CD223" s="67">
        <f t="shared" si="135"/>
        <v>0</v>
      </c>
      <c r="CE223" s="67">
        <f t="shared" si="135"/>
        <v>0</v>
      </c>
      <c r="CF223" s="67">
        <f t="shared" si="135"/>
        <v>0</v>
      </c>
      <c r="CG223" s="67">
        <f t="shared" si="135"/>
        <v>0</v>
      </c>
      <c r="CH223" s="67">
        <f t="shared" si="135"/>
        <v>0</v>
      </c>
      <c r="CI223" s="67">
        <f t="shared" si="135"/>
        <v>0</v>
      </c>
      <c r="CJ223" s="67">
        <f t="shared" si="135"/>
        <v>0</v>
      </c>
      <c r="CK223" s="67">
        <f t="shared" si="135"/>
        <v>0</v>
      </c>
      <c r="CL223" s="67">
        <f t="shared" si="135"/>
        <v>0</v>
      </c>
      <c r="CM223" s="67">
        <f t="shared" si="135"/>
        <v>0</v>
      </c>
      <c r="CN223" s="67">
        <f t="shared" si="135"/>
        <v>0</v>
      </c>
      <c r="CO223" s="67">
        <f t="shared" si="135"/>
        <v>0</v>
      </c>
      <c r="CP223" s="67">
        <f t="shared" si="135"/>
        <v>0</v>
      </c>
      <c r="CQ223" s="52" t="s">
        <v>241</v>
      </c>
    </row>
    <row r="224" spans="1:95" outlineLevel="1" x14ac:dyDescent="0.25">
      <c r="B224" t="s">
        <v>74</v>
      </c>
      <c r="D224" s="67">
        <f t="shared" ref="D224:BO224" si="136">Change_NOx_emissions_not_in_exceedance*-(NOx_damage_costs_high)</f>
        <v>0</v>
      </c>
      <c r="E224" s="67">
        <f t="shared" si="136"/>
        <v>0</v>
      </c>
      <c r="F224" s="67">
        <f t="shared" si="136"/>
        <v>0</v>
      </c>
      <c r="G224" s="67">
        <f t="shared" si="136"/>
        <v>0</v>
      </c>
      <c r="H224" s="67">
        <f t="shared" si="136"/>
        <v>0</v>
      </c>
      <c r="I224" s="67">
        <f t="shared" si="136"/>
        <v>0</v>
      </c>
      <c r="J224" s="67">
        <f t="shared" si="136"/>
        <v>0</v>
      </c>
      <c r="K224" s="67">
        <f t="shared" si="136"/>
        <v>0</v>
      </c>
      <c r="L224" s="67">
        <f t="shared" si="136"/>
        <v>0</v>
      </c>
      <c r="M224" s="67">
        <f t="shared" si="136"/>
        <v>0</v>
      </c>
      <c r="N224" s="67">
        <f t="shared" si="136"/>
        <v>0</v>
      </c>
      <c r="O224" s="67">
        <f t="shared" si="136"/>
        <v>0</v>
      </c>
      <c r="P224" s="67">
        <f t="shared" si="136"/>
        <v>0</v>
      </c>
      <c r="Q224" s="67">
        <f t="shared" si="136"/>
        <v>0</v>
      </c>
      <c r="R224" s="67">
        <f t="shared" si="136"/>
        <v>0</v>
      </c>
      <c r="S224" s="67">
        <f t="shared" si="136"/>
        <v>0</v>
      </c>
      <c r="T224" s="67">
        <f t="shared" si="136"/>
        <v>-742.53653590029387</v>
      </c>
      <c r="U224" s="67">
        <f t="shared" si="136"/>
        <v>-901.74864293809605</v>
      </c>
      <c r="V224" s="67">
        <f t="shared" si="136"/>
        <v>-1067.0427171637436</v>
      </c>
      <c r="W224" s="67">
        <f t="shared" si="136"/>
        <v>-1238.6725929201596</v>
      </c>
      <c r="X224" s="67">
        <f t="shared" si="136"/>
        <v>-1416.8974778794923</v>
      </c>
      <c r="Y224" s="67">
        <f t="shared" si="136"/>
        <v>-1601.983039038679</v>
      </c>
      <c r="Z224" s="67">
        <f t="shared" si="136"/>
        <v>-1794.1978620604862</v>
      </c>
      <c r="AA224" s="67">
        <f t="shared" si="136"/>
        <v>-1993.8106425986555</v>
      </c>
      <c r="AB224" s="67">
        <f t="shared" si="136"/>
        <v>-2203.2319149396312</v>
      </c>
      <c r="AC224" s="67">
        <f t="shared" si="136"/>
        <v>-2418.6379390442057</v>
      </c>
      <c r="AD224" s="67">
        <f t="shared" si="136"/>
        <v>-2642.23309853105</v>
      </c>
      <c r="AE224" s="67">
        <f t="shared" si="136"/>
        <v>-2697.1582692263169</v>
      </c>
      <c r="AF224" s="67">
        <f t="shared" si="136"/>
        <v>-2753.5928929650136</v>
      </c>
      <c r="AG224" s="67">
        <f t="shared" si="136"/>
        <v>-2811.2083397917977</v>
      </c>
      <c r="AH224" s="67">
        <f t="shared" si="136"/>
        <v>-2870.0293169355482</v>
      </c>
      <c r="AI224" s="67">
        <f t="shared" si="136"/>
        <v>-2930.0810485926399</v>
      </c>
      <c r="AJ224" s="67">
        <f t="shared" si="136"/>
        <v>-2991.9294001085341</v>
      </c>
      <c r="AK224" s="67">
        <f t="shared" si="136"/>
        <v>-3055.0832508655049</v>
      </c>
      <c r="AL224" s="67">
        <f t="shared" si="136"/>
        <v>-3119.5701574309746</v>
      </c>
      <c r="AM224" s="67">
        <f t="shared" si="136"/>
        <v>-3185.4182580382781</v>
      </c>
      <c r="AN224" s="67">
        <f t="shared" si="136"/>
        <v>-3255.8296080692535</v>
      </c>
      <c r="AO224" s="67">
        <f t="shared" si="136"/>
        <v>-3325.4304721564081</v>
      </c>
      <c r="AP224" s="67">
        <f t="shared" si="136"/>
        <v>-3396.5192151760712</v>
      </c>
      <c r="AQ224" s="67">
        <f t="shared" si="136"/>
        <v>-3469.1276439706821</v>
      </c>
      <c r="AR224" s="67">
        <f t="shared" si="136"/>
        <v>-3543.2882453272687</v>
      </c>
      <c r="AS224" s="67">
        <f t="shared" si="136"/>
        <v>-3615.5034354391587</v>
      </c>
      <c r="AT224" s="67">
        <f t="shared" si="136"/>
        <v>-3690.3621330792116</v>
      </c>
      <c r="AU224" s="67">
        <f t="shared" si="136"/>
        <v>-3766.7707738219151</v>
      </c>
      <c r="AV224" s="67">
        <f t="shared" si="136"/>
        <v>-3844.7614491101754</v>
      </c>
      <c r="AW224" s="67">
        <f t="shared" si="136"/>
        <v>-3924.3669148375552</v>
      </c>
      <c r="AX224" s="67">
        <f t="shared" si="136"/>
        <v>-4005.6206051056624</v>
      </c>
      <c r="AY224" s="67">
        <f t="shared" si="136"/>
        <v>-4089.5171909003284</v>
      </c>
      <c r="AZ224" s="67">
        <f t="shared" si="136"/>
        <v>-4179.2482822513193</v>
      </c>
      <c r="BA224" s="67">
        <f t="shared" si="136"/>
        <v>-4270.9482291857876</v>
      </c>
      <c r="BB224" s="67">
        <f t="shared" si="136"/>
        <v>-4368.9184369100449</v>
      </c>
      <c r="BC224" s="67">
        <f t="shared" si="136"/>
        <v>-4469.1359585998389</v>
      </c>
      <c r="BD224" s="67">
        <f t="shared" si="136"/>
        <v>-4571.9182673329997</v>
      </c>
      <c r="BE224" s="67">
        <f t="shared" si="136"/>
        <v>-4676.9426745451128</v>
      </c>
      <c r="BF224" s="67">
        <f t="shared" si="136"/>
        <v>-4779.7165253322419</v>
      </c>
      <c r="BG224" s="67">
        <f t="shared" si="136"/>
        <v>-4884.7487883216627</v>
      </c>
      <c r="BH224" s="67">
        <f t="shared" si="136"/>
        <v>-4992.0890911729066</v>
      </c>
      <c r="BI224" s="67">
        <f t="shared" si="136"/>
        <v>-5101.1071796425185</v>
      </c>
      <c r="BJ224" s="67">
        <f t="shared" si="136"/>
        <v>-5212.5060236227991</v>
      </c>
      <c r="BK224" s="67">
        <f t="shared" si="136"/>
        <v>-5326.3376144564836</v>
      </c>
      <c r="BL224" s="67">
        <f t="shared" si="136"/>
        <v>-5442.655078882065</v>
      </c>
      <c r="BM224" s="67">
        <f t="shared" si="136"/>
        <v>-5561.5127038287656</v>
      </c>
      <c r="BN224" s="67">
        <f t="shared" si="136"/>
        <v>-5682.1007103253696</v>
      </c>
      <c r="BO224" s="67">
        <f t="shared" si="136"/>
        <v>-5805.3033772723247</v>
      </c>
      <c r="BP224" s="67">
        <f t="shared" ref="BP224:CP224" si="137">Change_NOx_emissions_not_in_exceedance*-(NOx_damage_costs_high)</f>
        <v>-5931.1773972833425</v>
      </c>
      <c r="BQ224" s="67">
        <f t="shared" si="137"/>
        <v>-6059.7806922149039</v>
      </c>
      <c r="BR224" s="67">
        <f t="shared" si="137"/>
        <v>-6191.1724398194247</v>
      </c>
      <c r="BS224" s="67">
        <f t="shared" si="137"/>
        <v>-6325.2324069590468</v>
      </c>
      <c r="BT224" s="67">
        <f t="shared" si="137"/>
        <v>-6462.1952289236915</v>
      </c>
      <c r="BU224" s="67">
        <f t="shared" si="137"/>
        <v>-6602.1237624058895</v>
      </c>
      <c r="BV224" s="67">
        <f t="shared" si="137"/>
        <v>-6745.0822251596201</v>
      </c>
      <c r="BW224" s="67">
        <f t="shared" si="137"/>
        <v>-6891.1362254719306</v>
      </c>
      <c r="BX224" s="67">
        <f t="shared" si="137"/>
        <v>-7040.9474291963279</v>
      </c>
      <c r="BY224" s="67">
        <f t="shared" si="137"/>
        <v>-7194.0154828837804</v>
      </c>
      <c r="BZ224" s="67">
        <f t="shared" si="137"/>
        <v>-7350.4111894610314</v>
      </c>
      <c r="CA224" s="67">
        <f t="shared" si="137"/>
        <v>-7510.2068910888884</v>
      </c>
      <c r="CB224" s="67">
        <f t="shared" si="137"/>
        <v>0</v>
      </c>
      <c r="CC224" s="67">
        <f t="shared" si="137"/>
        <v>0</v>
      </c>
      <c r="CD224" s="67">
        <f t="shared" si="137"/>
        <v>0</v>
      </c>
      <c r="CE224" s="67">
        <f t="shared" si="137"/>
        <v>0</v>
      </c>
      <c r="CF224" s="67">
        <f t="shared" si="137"/>
        <v>0</v>
      </c>
      <c r="CG224" s="67">
        <f t="shared" si="137"/>
        <v>0</v>
      </c>
      <c r="CH224" s="67">
        <f t="shared" si="137"/>
        <v>0</v>
      </c>
      <c r="CI224" s="67">
        <f t="shared" si="137"/>
        <v>0</v>
      </c>
      <c r="CJ224" s="67">
        <f t="shared" si="137"/>
        <v>0</v>
      </c>
      <c r="CK224" s="67">
        <f t="shared" si="137"/>
        <v>0</v>
      </c>
      <c r="CL224" s="67">
        <f t="shared" si="137"/>
        <v>0</v>
      </c>
      <c r="CM224" s="67">
        <f t="shared" si="137"/>
        <v>0</v>
      </c>
      <c r="CN224" s="67">
        <f t="shared" si="137"/>
        <v>0</v>
      </c>
      <c r="CO224" s="67">
        <f t="shared" si="137"/>
        <v>0</v>
      </c>
      <c r="CP224" s="67">
        <f t="shared" si="137"/>
        <v>0</v>
      </c>
      <c r="CQ224" s="52" t="s">
        <v>242</v>
      </c>
    </row>
    <row r="225" spans="1:95" outlineLevel="1" x14ac:dyDescent="0.25">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2"/>
    </row>
    <row r="226" spans="1:95" ht="31.5" outlineLevel="1" x14ac:dyDescent="0.25">
      <c r="A226" s="56"/>
      <c r="B226" s="110" t="s">
        <v>244</v>
      </c>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row>
    <row r="227" spans="1:95" outlineLevel="1" x14ac:dyDescent="0.25"/>
    <row r="228" spans="1:95" outlineLevel="1" x14ac:dyDescent="0.25">
      <c r="B228" t="s">
        <v>72</v>
      </c>
      <c r="D228" s="67">
        <f t="shared" ref="D228:BO228" si="138">Change_NOx_emissions_in_exceedance*-(NOx_abatement_costs_low)</f>
        <v>0</v>
      </c>
      <c r="E228" s="67">
        <f t="shared" si="138"/>
        <v>0</v>
      </c>
      <c r="F228" s="67">
        <f t="shared" si="138"/>
        <v>0</v>
      </c>
      <c r="G228" s="67">
        <f t="shared" si="138"/>
        <v>0</v>
      </c>
      <c r="H228" s="67">
        <f t="shared" si="138"/>
        <v>0</v>
      </c>
      <c r="I228" s="67">
        <f t="shared" si="138"/>
        <v>0</v>
      </c>
      <c r="J228" s="67">
        <f t="shared" si="138"/>
        <v>0</v>
      </c>
      <c r="K228" s="67">
        <f t="shared" si="138"/>
        <v>0</v>
      </c>
      <c r="L228" s="67">
        <f t="shared" si="138"/>
        <v>0</v>
      </c>
      <c r="M228" s="67">
        <f t="shared" si="138"/>
        <v>0</v>
      </c>
      <c r="N228" s="67">
        <f t="shared" si="138"/>
        <v>0</v>
      </c>
      <c r="O228" s="67">
        <f t="shared" si="138"/>
        <v>0</v>
      </c>
      <c r="P228" s="67">
        <f t="shared" si="138"/>
        <v>0</v>
      </c>
      <c r="Q228" s="67">
        <f t="shared" si="138"/>
        <v>0</v>
      </c>
      <c r="R228" s="67">
        <f t="shared" si="138"/>
        <v>0</v>
      </c>
      <c r="S228" s="67">
        <f t="shared" si="138"/>
        <v>0</v>
      </c>
      <c r="T228" s="67">
        <f t="shared" si="138"/>
        <v>0</v>
      </c>
      <c r="U228" s="67">
        <f t="shared" si="138"/>
        <v>0</v>
      </c>
      <c r="V228" s="67">
        <f t="shared" si="138"/>
        <v>0</v>
      </c>
      <c r="W228" s="67">
        <f t="shared" si="138"/>
        <v>0</v>
      </c>
      <c r="X228" s="67">
        <f t="shared" si="138"/>
        <v>0</v>
      </c>
      <c r="Y228" s="67">
        <f t="shared" si="138"/>
        <v>0</v>
      </c>
      <c r="Z228" s="67">
        <f t="shared" si="138"/>
        <v>0</v>
      </c>
      <c r="AA228" s="67">
        <f t="shared" si="138"/>
        <v>0</v>
      </c>
      <c r="AB228" s="67">
        <f t="shared" si="138"/>
        <v>0</v>
      </c>
      <c r="AC228" s="67">
        <f t="shared" si="138"/>
        <v>0</v>
      </c>
      <c r="AD228" s="67">
        <f t="shared" si="138"/>
        <v>0</v>
      </c>
      <c r="AE228" s="67">
        <f t="shared" si="138"/>
        <v>0</v>
      </c>
      <c r="AF228" s="67">
        <f t="shared" si="138"/>
        <v>0</v>
      </c>
      <c r="AG228" s="67">
        <f t="shared" si="138"/>
        <v>0</v>
      </c>
      <c r="AH228" s="67">
        <f t="shared" si="138"/>
        <v>0</v>
      </c>
      <c r="AI228" s="67">
        <f t="shared" si="138"/>
        <v>0</v>
      </c>
      <c r="AJ228" s="67">
        <f t="shared" si="138"/>
        <v>0</v>
      </c>
      <c r="AK228" s="67">
        <f t="shared" si="138"/>
        <v>0</v>
      </c>
      <c r="AL228" s="67">
        <f t="shared" si="138"/>
        <v>0</v>
      </c>
      <c r="AM228" s="67">
        <f t="shared" si="138"/>
        <v>0</v>
      </c>
      <c r="AN228" s="67">
        <f t="shared" si="138"/>
        <v>0</v>
      </c>
      <c r="AO228" s="67">
        <f t="shared" si="138"/>
        <v>0</v>
      </c>
      <c r="AP228" s="67">
        <f t="shared" si="138"/>
        <v>0</v>
      </c>
      <c r="AQ228" s="67">
        <f t="shared" si="138"/>
        <v>0</v>
      </c>
      <c r="AR228" s="67">
        <f t="shared" si="138"/>
        <v>0</v>
      </c>
      <c r="AS228" s="67">
        <f t="shared" si="138"/>
        <v>0</v>
      </c>
      <c r="AT228" s="67">
        <f t="shared" si="138"/>
        <v>0</v>
      </c>
      <c r="AU228" s="67">
        <f t="shared" si="138"/>
        <v>0</v>
      </c>
      <c r="AV228" s="67">
        <f t="shared" si="138"/>
        <v>0</v>
      </c>
      <c r="AW228" s="67">
        <f t="shared" si="138"/>
        <v>0</v>
      </c>
      <c r="AX228" s="67">
        <f t="shared" si="138"/>
        <v>0</v>
      </c>
      <c r="AY228" s="67">
        <f t="shared" si="138"/>
        <v>0</v>
      </c>
      <c r="AZ228" s="67">
        <f t="shared" si="138"/>
        <v>0</v>
      </c>
      <c r="BA228" s="67">
        <f t="shared" si="138"/>
        <v>0</v>
      </c>
      <c r="BB228" s="67">
        <f t="shared" si="138"/>
        <v>0</v>
      </c>
      <c r="BC228" s="67">
        <f t="shared" si="138"/>
        <v>0</v>
      </c>
      <c r="BD228" s="67">
        <f t="shared" si="138"/>
        <v>0</v>
      </c>
      <c r="BE228" s="67">
        <f t="shared" si="138"/>
        <v>0</v>
      </c>
      <c r="BF228" s="67">
        <f t="shared" si="138"/>
        <v>0</v>
      </c>
      <c r="BG228" s="67">
        <f t="shared" si="138"/>
        <v>0</v>
      </c>
      <c r="BH228" s="67">
        <f t="shared" si="138"/>
        <v>0</v>
      </c>
      <c r="BI228" s="67">
        <f t="shared" si="138"/>
        <v>0</v>
      </c>
      <c r="BJ228" s="67">
        <f t="shared" si="138"/>
        <v>0</v>
      </c>
      <c r="BK228" s="67">
        <f t="shared" si="138"/>
        <v>0</v>
      </c>
      <c r="BL228" s="67">
        <f t="shared" si="138"/>
        <v>0</v>
      </c>
      <c r="BM228" s="67">
        <f t="shared" si="138"/>
        <v>0</v>
      </c>
      <c r="BN228" s="67">
        <f t="shared" si="138"/>
        <v>0</v>
      </c>
      <c r="BO228" s="67">
        <f t="shared" si="138"/>
        <v>0</v>
      </c>
      <c r="BP228" s="67">
        <f t="shared" ref="BP228:CP228" si="139">Change_NOx_emissions_in_exceedance*-(NOx_abatement_costs_low)</f>
        <v>0</v>
      </c>
      <c r="BQ228" s="67">
        <f t="shared" si="139"/>
        <v>0</v>
      </c>
      <c r="BR228" s="67">
        <f t="shared" si="139"/>
        <v>0</v>
      </c>
      <c r="BS228" s="67">
        <f t="shared" si="139"/>
        <v>0</v>
      </c>
      <c r="BT228" s="67">
        <f t="shared" si="139"/>
        <v>0</v>
      </c>
      <c r="BU228" s="67">
        <f t="shared" si="139"/>
        <v>0</v>
      </c>
      <c r="BV228" s="67">
        <f t="shared" si="139"/>
        <v>0</v>
      </c>
      <c r="BW228" s="67">
        <f t="shared" si="139"/>
        <v>0</v>
      </c>
      <c r="BX228" s="67">
        <f t="shared" si="139"/>
        <v>0</v>
      </c>
      <c r="BY228" s="67">
        <f t="shared" si="139"/>
        <v>0</v>
      </c>
      <c r="BZ228" s="67">
        <f t="shared" si="139"/>
        <v>0</v>
      </c>
      <c r="CA228" s="67">
        <f t="shared" si="139"/>
        <v>0</v>
      </c>
      <c r="CB228" s="67">
        <f t="shared" si="139"/>
        <v>0</v>
      </c>
      <c r="CC228" s="67">
        <f t="shared" si="139"/>
        <v>0</v>
      </c>
      <c r="CD228" s="67">
        <f t="shared" si="139"/>
        <v>0</v>
      </c>
      <c r="CE228" s="67">
        <f t="shared" si="139"/>
        <v>0</v>
      </c>
      <c r="CF228" s="67">
        <f t="shared" si="139"/>
        <v>0</v>
      </c>
      <c r="CG228" s="67">
        <f t="shared" si="139"/>
        <v>0</v>
      </c>
      <c r="CH228" s="67">
        <f t="shared" si="139"/>
        <v>0</v>
      </c>
      <c r="CI228" s="67">
        <f t="shared" si="139"/>
        <v>0</v>
      </c>
      <c r="CJ228" s="67">
        <f t="shared" si="139"/>
        <v>0</v>
      </c>
      <c r="CK228" s="67">
        <f t="shared" si="139"/>
        <v>0</v>
      </c>
      <c r="CL228" s="67">
        <f t="shared" si="139"/>
        <v>0</v>
      </c>
      <c r="CM228" s="67">
        <f t="shared" si="139"/>
        <v>0</v>
      </c>
      <c r="CN228" s="67">
        <f t="shared" si="139"/>
        <v>0</v>
      </c>
      <c r="CO228" s="67">
        <f t="shared" si="139"/>
        <v>0</v>
      </c>
      <c r="CP228" s="67">
        <f t="shared" si="139"/>
        <v>0</v>
      </c>
      <c r="CQ228" s="52" t="s">
        <v>246</v>
      </c>
    </row>
    <row r="229" spans="1:95" outlineLevel="1" x14ac:dyDescent="0.25">
      <c r="B229" t="s">
        <v>73</v>
      </c>
      <c r="D229" s="67">
        <f t="shared" ref="D229:BO229" si="140">Change_NOx_emissions_in_exceedance*-(NOx_abatement_costs_central)</f>
        <v>0</v>
      </c>
      <c r="E229" s="67">
        <f t="shared" si="140"/>
        <v>0</v>
      </c>
      <c r="F229" s="67">
        <f t="shared" si="140"/>
        <v>0</v>
      </c>
      <c r="G229" s="67">
        <f t="shared" si="140"/>
        <v>0</v>
      </c>
      <c r="H229" s="67">
        <f t="shared" si="140"/>
        <v>0</v>
      </c>
      <c r="I229" s="67">
        <f t="shared" si="140"/>
        <v>0</v>
      </c>
      <c r="J229" s="67">
        <f t="shared" si="140"/>
        <v>0</v>
      </c>
      <c r="K229" s="67">
        <f t="shared" si="140"/>
        <v>0</v>
      </c>
      <c r="L229" s="67">
        <f t="shared" si="140"/>
        <v>0</v>
      </c>
      <c r="M229" s="67">
        <f t="shared" si="140"/>
        <v>0</v>
      </c>
      <c r="N229" s="67">
        <f t="shared" si="140"/>
        <v>0</v>
      </c>
      <c r="O229" s="67">
        <f t="shared" si="140"/>
        <v>0</v>
      </c>
      <c r="P229" s="67">
        <f t="shared" si="140"/>
        <v>0</v>
      </c>
      <c r="Q229" s="67">
        <f t="shared" si="140"/>
        <v>0</v>
      </c>
      <c r="R229" s="67">
        <f t="shared" si="140"/>
        <v>0</v>
      </c>
      <c r="S229" s="67">
        <f t="shared" si="140"/>
        <v>0</v>
      </c>
      <c r="T229" s="67">
        <f t="shared" si="140"/>
        <v>0</v>
      </c>
      <c r="U229" s="67">
        <f t="shared" si="140"/>
        <v>0</v>
      </c>
      <c r="V229" s="67">
        <f t="shared" si="140"/>
        <v>0</v>
      </c>
      <c r="W229" s="67">
        <f t="shared" si="140"/>
        <v>0</v>
      </c>
      <c r="X229" s="67">
        <f t="shared" si="140"/>
        <v>0</v>
      </c>
      <c r="Y229" s="67">
        <f t="shared" si="140"/>
        <v>0</v>
      </c>
      <c r="Z229" s="67">
        <f t="shared" si="140"/>
        <v>0</v>
      </c>
      <c r="AA229" s="67">
        <f t="shared" si="140"/>
        <v>0</v>
      </c>
      <c r="AB229" s="67">
        <f t="shared" si="140"/>
        <v>0</v>
      </c>
      <c r="AC229" s="67">
        <f t="shared" si="140"/>
        <v>0</v>
      </c>
      <c r="AD229" s="67">
        <f t="shared" si="140"/>
        <v>0</v>
      </c>
      <c r="AE229" s="67">
        <f t="shared" si="140"/>
        <v>0</v>
      </c>
      <c r="AF229" s="67">
        <f t="shared" si="140"/>
        <v>0</v>
      </c>
      <c r="AG229" s="67">
        <f t="shared" si="140"/>
        <v>0</v>
      </c>
      <c r="AH229" s="67">
        <f t="shared" si="140"/>
        <v>0</v>
      </c>
      <c r="AI229" s="67">
        <f t="shared" si="140"/>
        <v>0</v>
      </c>
      <c r="AJ229" s="67">
        <f t="shared" si="140"/>
        <v>0</v>
      </c>
      <c r="AK229" s="67">
        <f t="shared" si="140"/>
        <v>0</v>
      </c>
      <c r="AL229" s="67">
        <f t="shared" si="140"/>
        <v>0</v>
      </c>
      <c r="AM229" s="67">
        <f t="shared" si="140"/>
        <v>0</v>
      </c>
      <c r="AN229" s="67">
        <f t="shared" si="140"/>
        <v>0</v>
      </c>
      <c r="AO229" s="67">
        <f t="shared" si="140"/>
        <v>0</v>
      </c>
      <c r="AP229" s="67">
        <f t="shared" si="140"/>
        <v>0</v>
      </c>
      <c r="AQ229" s="67">
        <f t="shared" si="140"/>
        <v>0</v>
      </c>
      <c r="AR229" s="67">
        <f t="shared" si="140"/>
        <v>0</v>
      </c>
      <c r="AS229" s="67">
        <f t="shared" si="140"/>
        <v>0</v>
      </c>
      <c r="AT229" s="67">
        <f t="shared" si="140"/>
        <v>0</v>
      </c>
      <c r="AU229" s="67">
        <f t="shared" si="140"/>
        <v>0</v>
      </c>
      <c r="AV229" s="67">
        <f t="shared" si="140"/>
        <v>0</v>
      </c>
      <c r="AW229" s="67">
        <f t="shared" si="140"/>
        <v>0</v>
      </c>
      <c r="AX229" s="67">
        <f t="shared" si="140"/>
        <v>0</v>
      </c>
      <c r="AY229" s="67">
        <f t="shared" si="140"/>
        <v>0</v>
      </c>
      <c r="AZ229" s="67">
        <f t="shared" si="140"/>
        <v>0</v>
      </c>
      <c r="BA229" s="67">
        <f t="shared" si="140"/>
        <v>0</v>
      </c>
      <c r="BB229" s="67">
        <f t="shared" si="140"/>
        <v>0</v>
      </c>
      <c r="BC229" s="67">
        <f t="shared" si="140"/>
        <v>0</v>
      </c>
      <c r="BD229" s="67">
        <f t="shared" si="140"/>
        <v>0</v>
      </c>
      <c r="BE229" s="67">
        <f t="shared" si="140"/>
        <v>0</v>
      </c>
      <c r="BF229" s="67">
        <f t="shared" si="140"/>
        <v>0</v>
      </c>
      <c r="BG229" s="67">
        <f t="shared" si="140"/>
        <v>0</v>
      </c>
      <c r="BH229" s="67">
        <f t="shared" si="140"/>
        <v>0</v>
      </c>
      <c r="BI229" s="67">
        <f t="shared" si="140"/>
        <v>0</v>
      </c>
      <c r="BJ229" s="67">
        <f t="shared" si="140"/>
        <v>0</v>
      </c>
      <c r="BK229" s="67">
        <f t="shared" si="140"/>
        <v>0</v>
      </c>
      <c r="BL229" s="67">
        <f t="shared" si="140"/>
        <v>0</v>
      </c>
      <c r="BM229" s="67">
        <f t="shared" si="140"/>
        <v>0</v>
      </c>
      <c r="BN229" s="67">
        <f t="shared" si="140"/>
        <v>0</v>
      </c>
      <c r="BO229" s="67">
        <f t="shared" si="140"/>
        <v>0</v>
      </c>
      <c r="BP229" s="67">
        <f t="shared" ref="BP229:CP229" si="141">Change_NOx_emissions_in_exceedance*-(NOx_abatement_costs_central)</f>
        <v>0</v>
      </c>
      <c r="BQ229" s="67">
        <f t="shared" si="141"/>
        <v>0</v>
      </c>
      <c r="BR229" s="67">
        <f t="shared" si="141"/>
        <v>0</v>
      </c>
      <c r="BS229" s="67">
        <f t="shared" si="141"/>
        <v>0</v>
      </c>
      <c r="BT229" s="67">
        <f t="shared" si="141"/>
        <v>0</v>
      </c>
      <c r="BU229" s="67">
        <f t="shared" si="141"/>
        <v>0</v>
      </c>
      <c r="BV229" s="67">
        <f t="shared" si="141"/>
        <v>0</v>
      </c>
      <c r="BW229" s="67">
        <f t="shared" si="141"/>
        <v>0</v>
      </c>
      <c r="BX229" s="67">
        <f t="shared" si="141"/>
        <v>0</v>
      </c>
      <c r="BY229" s="67">
        <f t="shared" si="141"/>
        <v>0</v>
      </c>
      <c r="BZ229" s="67">
        <f t="shared" si="141"/>
        <v>0</v>
      </c>
      <c r="CA229" s="67">
        <f t="shared" si="141"/>
        <v>0</v>
      </c>
      <c r="CB229" s="67">
        <f t="shared" si="141"/>
        <v>0</v>
      </c>
      <c r="CC229" s="67">
        <f t="shared" si="141"/>
        <v>0</v>
      </c>
      <c r="CD229" s="67">
        <f t="shared" si="141"/>
        <v>0</v>
      </c>
      <c r="CE229" s="67">
        <f t="shared" si="141"/>
        <v>0</v>
      </c>
      <c r="CF229" s="67">
        <f t="shared" si="141"/>
        <v>0</v>
      </c>
      <c r="CG229" s="67">
        <f t="shared" si="141"/>
        <v>0</v>
      </c>
      <c r="CH229" s="67">
        <f t="shared" si="141"/>
        <v>0</v>
      </c>
      <c r="CI229" s="67">
        <f t="shared" si="141"/>
        <v>0</v>
      </c>
      <c r="CJ229" s="67">
        <f t="shared" si="141"/>
        <v>0</v>
      </c>
      <c r="CK229" s="67">
        <f t="shared" si="141"/>
        <v>0</v>
      </c>
      <c r="CL229" s="67">
        <f t="shared" si="141"/>
        <v>0</v>
      </c>
      <c r="CM229" s="67">
        <f t="shared" si="141"/>
        <v>0</v>
      </c>
      <c r="CN229" s="67">
        <f t="shared" si="141"/>
        <v>0</v>
      </c>
      <c r="CO229" s="67">
        <f t="shared" si="141"/>
        <v>0</v>
      </c>
      <c r="CP229" s="67">
        <f t="shared" si="141"/>
        <v>0</v>
      </c>
      <c r="CQ229" s="52" t="s">
        <v>247</v>
      </c>
    </row>
    <row r="230" spans="1:95" outlineLevel="1" x14ac:dyDescent="0.25">
      <c r="B230" t="s">
        <v>74</v>
      </c>
      <c r="D230" s="67">
        <f t="shared" ref="D230:BO230" si="142">Change_NOx_emissions_in_exceedance*-(NOx_abatement_costs_high)</f>
        <v>0</v>
      </c>
      <c r="E230" s="67">
        <f t="shared" si="142"/>
        <v>0</v>
      </c>
      <c r="F230" s="67">
        <f t="shared" si="142"/>
        <v>0</v>
      </c>
      <c r="G230" s="67">
        <f t="shared" si="142"/>
        <v>0</v>
      </c>
      <c r="H230" s="67">
        <f t="shared" si="142"/>
        <v>0</v>
      </c>
      <c r="I230" s="67">
        <f t="shared" si="142"/>
        <v>0</v>
      </c>
      <c r="J230" s="67">
        <f t="shared" si="142"/>
        <v>0</v>
      </c>
      <c r="K230" s="67">
        <f t="shared" si="142"/>
        <v>0</v>
      </c>
      <c r="L230" s="67">
        <f t="shared" si="142"/>
        <v>0</v>
      </c>
      <c r="M230" s="67">
        <f t="shared" si="142"/>
        <v>0</v>
      </c>
      <c r="N230" s="67">
        <f t="shared" si="142"/>
        <v>0</v>
      </c>
      <c r="O230" s="67">
        <f t="shared" si="142"/>
        <v>0</v>
      </c>
      <c r="P230" s="67">
        <f t="shared" si="142"/>
        <v>0</v>
      </c>
      <c r="Q230" s="67">
        <f t="shared" si="142"/>
        <v>0</v>
      </c>
      <c r="R230" s="67">
        <f t="shared" si="142"/>
        <v>0</v>
      </c>
      <c r="S230" s="67">
        <f t="shared" si="142"/>
        <v>0</v>
      </c>
      <c r="T230" s="67">
        <f t="shared" si="142"/>
        <v>0</v>
      </c>
      <c r="U230" s="67">
        <f t="shared" si="142"/>
        <v>0</v>
      </c>
      <c r="V230" s="67">
        <f t="shared" si="142"/>
        <v>0</v>
      </c>
      <c r="W230" s="67">
        <f t="shared" si="142"/>
        <v>0</v>
      </c>
      <c r="X230" s="67">
        <f t="shared" si="142"/>
        <v>0</v>
      </c>
      <c r="Y230" s="67">
        <f t="shared" si="142"/>
        <v>0</v>
      </c>
      <c r="Z230" s="67">
        <f t="shared" si="142"/>
        <v>0</v>
      </c>
      <c r="AA230" s="67">
        <f t="shared" si="142"/>
        <v>0</v>
      </c>
      <c r="AB230" s="67">
        <f t="shared" si="142"/>
        <v>0</v>
      </c>
      <c r="AC230" s="67">
        <f t="shared" si="142"/>
        <v>0</v>
      </c>
      <c r="AD230" s="67">
        <f t="shared" si="142"/>
        <v>0</v>
      </c>
      <c r="AE230" s="67">
        <f t="shared" si="142"/>
        <v>0</v>
      </c>
      <c r="AF230" s="67">
        <f t="shared" si="142"/>
        <v>0</v>
      </c>
      <c r="AG230" s="67">
        <f t="shared" si="142"/>
        <v>0</v>
      </c>
      <c r="AH230" s="67">
        <f t="shared" si="142"/>
        <v>0</v>
      </c>
      <c r="AI230" s="67">
        <f t="shared" si="142"/>
        <v>0</v>
      </c>
      <c r="AJ230" s="67">
        <f t="shared" si="142"/>
        <v>0</v>
      </c>
      <c r="AK230" s="67">
        <f t="shared" si="142"/>
        <v>0</v>
      </c>
      <c r="AL230" s="67">
        <f t="shared" si="142"/>
        <v>0</v>
      </c>
      <c r="AM230" s="67">
        <f t="shared" si="142"/>
        <v>0</v>
      </c>
      <c r="AN230" s="67">
        <f t="shared" si="142"/>
        <v>0</v>
      </c>
      <c r="AO230" s="67">
        <f t="shared" si="142"/>
        <v>0</v>
      </c>
      <c r="AP230" s="67">
        <f t="shared" si="142"/>
        <v>0</v>
      </c>
      <c r="AQ230" s="67">
        <f t="shared" si="142"/>
        <v>0</v>
      </c>
      <c r="AR230" s="67">
        <f t="shared" si="142"/>
        <v>0</v>
      </c>
      <c r="AS230" s="67">
        <f t="shared" si="142"/>
        <v>0</v>
      </c>
      <c r="AT230" s="67">
        <f t="shared" si="142"/>
        <v>0</v>
      </c>
      <c r="AU230" s="67">
        <f t="shared" si="142"/>
        <v>0</v>
      </c>
      <c r="AV230" s="67">
        <f t="shared" si="142"/>
        <v>0</v>
      </c>
      <c r="AW230" s="67">
        <f t="shared" si="142"/>
        <v>0</v>
      </c>
      <c r="AX230" s="67">
        <f t="shared" si="142"/>
        <v>0</v>
      </c>
      <c r="AY230" s="67">
        <f t="shared" si="142"/>
        <v>0</v>
      </c>
      <c r="AZ230" s="67">
        <f t="shared" si="142"/>
        <v>0</v>
      </c>
      <c r="BA230" s="67">
        <f t="shared" si="142"/>
        <v>0</v>
      </c>
      <c r="BB230" s="67">
        <f t="shared" si="142"/>
        <v>0</v>
      </c>
      <c r="BC230" s="67">
        <f t="shared" si="142"/>
        <v>0</v>
      </c>
      <c r="BD230" s="67">
        <f t="shared" si="142"/>
        <v>0</v>
      </c>
      <c r="BE230" s="67">
        <f t="shared" si="142"/>
        <v>0</v>
      </c>
      <c r="BF230" s="67">
        <f t="shared" si="142"/>
        <v>0</v>
      </c>
      <c r="BG230" s="67">
        <f t="shared" si="142"/>
        <v>0</v>
      </c>
      <c r="BH230" s="67">
        <f t="shared" si="142"/>
        <v>0</v>
      </c>
      <c r="BI230" s="67">
        <f t="shared" si="142"/>
        <v>0</v>
      </c>
      <c r="BJ230" s="67">
        <f t="shared" si="142"/>
        <v>0</v>
      </c>
      <c r="BK230" s="67">
        <f t="shared" si="142"/>
        <v>0</v>
      </c>
      <c r="BL230" s="67">
        <f t="shared" si="142"/>
        <v>0</v>
      </c>
      <c r="BM230" s="67">
        <f t="shared" si="142"/>
        <v>0</v>
      </c>
      <c r="BN230" s="67">
        <f t="shared" si="142"/>
        <v>0</v>
      </c>
      <c r="BO230" s="67">
        <f t="shared" si="142"/>
        <v>0</v>
      </c>
      <c r="BP230" s="67">
        <f t="shared" ref="BP230:CP230" si="143">Change_NOx_emissions_in_exceedance*-(NOx_abatement_costs_high)</f>
        <v>0</v>
      </c>
      <c r="BQ230" s="67">
        <f t="shared" si="143"/>
        <v>0</v>
      </c>
      <c r="BR230" s="67">
        <f t="shared" si="143"/>
        <v>0</v>
      </c>
      <c r="BS230" s="67">
        <f t="shared" si="143"/>
        <v>0</v>
      </c>
      <c r="BT230" s="67">
        <f t="shared" si="143"/>
        <v>0</v>
      </c>
      <c r="BU230" s="67">
        <f t="shared" si="143"/>
        <v>0</v>
      </c>
      <c r="BV230" s="67">
        <f t="shared" si="143"/>
        <v>0</v>
      </c>
      <c r="BW230" s="67">
        <f t="shared" si="143"/>
        <v>0</v>
      </c>
      <c r="BX230" s="67">
        <f t="shared" si="143"/>
        <v>0</v>
      </c>
      <c r="BY230" s="67">
        <f t="shared" si="143"/>
        <v>0</v>
      </c>
      <c r="BZ230" s="67">
        <f t="shared" si="143"/>
        <v>0</v>
      </c>
      <c r="CA230" s="67">
        <f t="shared" si="143"/>
        <v>0</v>
      </c>
      <c r="CB230" s="67">
        <f t="shared" si="143"/>
        <v>0</v>
      </c>
      <c r="CC230" s="67">
        <f t="shared" si="143"/>
        <v>0</v>
      </c>
      <c r="CD230" s="67">
        <f t="shared" si="143"/>
        <v>0</v>
      </c>
      <c r="CE230" s="67">
        <f t="shared" si="143"/>
        <v>0</v>
      </c>
      <c r="CF230" s="67">
        <f t="shared" si="143"/>
        <v>0</v>
      </c>
      <c r="CG230" s="67">
        <f t="shared" si="143"/>
        <v>0</v>
      </c>
      <c r="CH230" s="67">
        <f t="shared" si="143"/>
        <v>0</v>
      </c>
      <c r="CI230" s="67">
        <f t="shared" si="143"/>
        <v>0</v>
      </c>
      <c r="CJ230" s="67">
        <f t="shared" si="143"/>
        <v>0</v>
      </c>
      <c r="CK230" s="67">
        <f t="shared" si="143"/>
        <v>0</v>
      </c>
      <c r="CL230" s="67">
        <f t="shared" si="143"/>
        <v>0</v>
      </c>
      <c r="CM230" s="67">
        <f t="shared" si="143"/>
        <v>0</v>
      </c>
      <c r="CN230" s="67">
        <f t="shared" si="143"/>
        <v>0</v>
      </c>
      <c r="CO230" s="67">
        <f t="shared" si="143"/>
        <v>0</v>
      </c>
      <c r="CP230" s="67">
        <f t="shared" si="143"/>
        <v>0</v>
      </c>
      <c r="CQ230" s="52" t="s">
        <v>248</v>
      </c>
    </row>
    <row r="231" spans="1:95" outlineLevel="1" x14ac:dyDescent="0.25">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2"/>
    </row>
    <row r="232" spans="1:95" ht="15.75" outlineLevel="1" x14ac:dyDescent="0.25">
      <c r="A232" s="56"/>
      <c r="B232" s="110" t="s">
        <v>245</v>
      </c>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row>
    <row r="233" spans="1:95" outlineLevel="1" x14ac:dyDescent="0.25"/>
    <row r="234" spans="1:95" outlineLevel="1" x14ac:dyDescent="0.25">
      <c r="B234" t="s">
        <v>72</v>
      </c>
      <c r="D234" s="111">
        <f t="shared" ref="D234:BO234" si="144">Change_in_PM10_net_total_assessment*-(PM10_damage_costs_low)</f>
        <v>0</v>
      </c>
      <c r="E234" s="111">
        <f t="shared" si="144"/>
        <v>0</v>
      </c>
      <c r="F234" s="111">
        <f t="shared" si="144"/>
        <v>0</v>
      </c>
      <c r="G234" s="111">
        <f t="shared" si="144"/>
        <v>0</v>
      </c>
      <c r="H234" s="111">
        <f t="shared" si="144"/>
        <v>0</v>
      </c>
      <c r="I234" s="111">
        <f t="shared" si="144"/>
        <v>0</v>
      </c>
      <c r="J234" s="111">
        <f t="shared" si="144"/>
        <v>0</v>
      </c>
      <c r="K234" s="111">
        <f t="shared" si="144"/>
        <v>0</v>
      </c>
      <c r="L234" s="111">
        <f t="shared" si="144"/>
        <v>0</v>
      </c>
      <c r="M234" s="111">
        <f t="shared" si="144"/>
        <v>0</v>
      </c>
      <c r="N234" s="111">
        <f t="shared" si="144"/>
        <v>0</v>
      </c>
      <c r="O234" s="111">
        <f t="shared" si="144"/>
        <v>0</v>
      </c>
      <c r="P234" s="111">
        <f t="shared" si="144"/>
        <v>0</v>
      </c>
      <c r="Q234" s="111">
        <f t="shared" si="144"/>
        <v>0</v>
      </c>
      <c r="R234" s="111">
        <f t="shared" si="144"/>
        <v>0</v>
      </c>
      <c r="S234" s="111">
        <f t="shared" si="144"/>
        <v>0</v>
      </c>
      <c r="T234" s="111">
        <f t="shared" si="144"/>
        <v>-4398.11026821429</v>
      </c>
      <c r="U234" s="111">
        <f t="shared" si="144"/>
        <v>-4898.8575371798979</v>
      </c>
      <c r="V234" s="111">
        <f t="shared" si="144"/>
        <v>-5416.3270397904334</v>
      </c>
      <c r="W234" s="111">
        <f t="shared" si="144"/>
        <v>-5951.0260937778403</v>
      </c>
      <c r="X234" s="111">
        <f t="shared" si="144"/>
        <v>-6503.7777110690931</v>
      </c>
      <c r="Y234" s="111">
        <f t="shared" si="144"/>
        <v>-7074.3692851634733</v>
      </c>
      <c r="Z234" s="111">
        <f t="shared" si="144"/>
        <v>-7665.0795976430754</v>
      </c>
      <c r="AA234" s="111">
        <f t="shared" si="144"/>
        <v>-8276.4504286901429</v>
      </c>
      <c r="AB234" s="111">
        <f t="shared" si="144"/>
        <v>-8938.1218067811769</v>
      </c>
      <c r="AC234" s="111">
        <f t="shared" si="144"/>
        <v>-9616.0751344636701</v>
      </c>
      <c r="AD234" s="111">
        <f t="shared" si="144"/>
        <v>-10319.136189224673</v>
      </c>
      <c r="AE234" s="111">
        <f t="shared" si="144"/>
        <v>-10533.644257016258</v>
      </c>
      <c r="AF234" s="111">
        <f t="shared" si="144"/>
        <v>-10754.04743358347</v>
      </c>
      <c r="AG234" s="111">
        <f t="shared" si="144"/>
        <v>-10979.0622677172</v>
      </c>
      <c r="AH234" s="111">
        <f t="shared" si="144"/>
        <v>-11208.785252516336</v>
      </c>
      <c r="AI234" s="111">
        <f t="shared" si="144"/>
        <v>-11443.314900075755</v>
      </c>
      <c r="AJ234" s="111">
        <f t="shared" si="144"/>
        <v>-11684.861174977224</v>
      </c>
      <c r="AK234" s="111">
        <f t="shared" si="144"/>
        <v>-11931.506025197845</v>
      </c>
      <c r="AL234" s="111">
        <f t="shared" si="144"/>
        <v>-12183.357071814757</v>
      </c>
      <c r="AM234" s="111">
        <f t="shared" si="144"/>
        <v>-12440.524207578177</v>
      </c>
      <c r="AN234" s="111">
        <f t="shared" si="144"/>
        <v>-12715.512932320418</v>
      </c>
      <c r="AO234" s="111">
        <f t="shared" si="144"/>
        <v>-12987.336336471386</v>
      </c>
      <c r="AP234" s="111">
        <f t="shared" si="144"/>
        <v>-13264.970592566551</v>
      </c>
      <c r="AQ234" s="111">
        <f t="shared" si="144"/>
        <v>-13548.53992096296</v>
      </c>
      <c r="AR234" s="111">
        <f t="shared" si="144"/>
        <v>-13838.171197514175</v>
      </c>
      <c r="AS234" s="111">
        <f t="shared" si="144"/>
        <v>-14120.204747888534</v>
      </c>
      <c r="AT234" s="111">
        <f t="shared" si="144"/>
        <v>-14412.562411686313</v>
      </c>
      <c r="AU234" s="111">
        <f t="shared" si="144"/>
        <v>-14710.973316574245</v>
      </c>
      <c r="AV234" s="111">
        <f t="shared" si="144"/>
        <v>-15015.56279440517</v>
      </c>
      <c r="AW234" s="111">
        <f t="shared" si="144"/>
        <v>-15326.458772017506</v>
      </c>
      <c r="AX234" s="111">
        <f t="shared" si="144"/>
        <v>-15643.791824964213</v>
      </c>
      <c r="AY234" s="111">
        <f t="shared" si="144"/>
        <v>-15971.446601186435</v>
      </c>
      <c r="AZ234" s="111">
        <f t="shared" si="144"/>
        <v>-16321.887806609757</v>
      </c>
      <c r="BA234" s="111">
        <f t="shared" si="144"/>
        <v>-16680.018299141826</v>
      </c>
      <c r="BB234" s="111">
        <f t="shared" si="144"/>
        <v>-17062.637045593568</v>
      </c>
      <c r="BC234" s="111">
        <f t="shared" si="144"/>
        <v>-17454.032587280824</v>
      </c>
      <c r="BD234" s="111">
        <f t="shared" si="144"/>
        <v>-17855.444802671693</v>
      </c>
      <c r="BE234" s="111">
        <f t="shared" si="144"/>
        <v>-18265.61344442283</v>
      </c>
      <c r="BF234" s="111">
        <f t="shared" si="144"/>
        <v>-18666.992627642147</v>
      </c>
      <c r="BG234" s="111">
        <f t="shared" si="144"/>
        <v>-19077.191949818858</v>
      </c>
      <c r="BH234" s="111">
        <f t="shared" si="144"/>
        <v>-19496.405229801767</v>
      </c>
      <c r="BI234" s="111">
        <f t="shared" si="144"/>
        <v>-19922.171034731047</v>
      </c>
      <c r="BJ234" s="111">
        <f t="shared" si="144"/>
        <v>-20357.234785538581</v>
      </c>
      <c r="BK234" s="111">
        <f t="shared" si="144"/>
        <v>-20801.799532343823</v>
      </c>
      <c r="BL234" s="111">
        <f t="shared" si="144"/>
        <v>-21256.072759509199</v>
      </c>
      <c r="BM234" s="111">
        <f t="shared" si="144"/>
        <v>-21720.266482475832</v>
      </c>
      <c r="BN234" s="111">
        <f t="shared" si="144"/>
        <v>-22191.218141705816</v>
      </c>
      <c r="BO234" s="111">
        <f t="shared" si="144"/>
        <v>-22672.381253245116</v>
      </c>
      <c r="BP234" s="111">
        <f t="shared" ref="BP234:CP234" si="145">Change_in_PM10_net_total_assessment*-(PM10_damage_costs_low)</f>
        <v>-23163.97722783987</v>
      </c>
      <c r="BQ234" s="111">
        <f t="shared" si="145"/>
        <v>-23666.232276994913</v>
      </c>
      <c r="BR234" s="111">
        <f t="shared" si="145"/>
        <v>-24179.377517066685</v>
      </c>
      <c r="BS234" s="111">
        <f t="shared" si="145"/>
        <v>-24702.943382321282</v>
      </c>
      <c r="BT234" s="111">
        <f t="shared" si="145"/>
        <v>-25237.846231543575</v>
      </c>
      <c r="BU234" s="111">
        <f t="shared" si="145"/>
        <v>-25784.33154904416</v>
      </c>
      <c r="BV234" s="111">
        <f t="shared" si="145"/>
        <v>-26342.650134704942</v>
      </c>
      <c r="BW234" s="111">
        <f t="shared" si="145"/>
        <v>-26913.058219079365</v>
      </c>
      <c r="BX234" s="111">
        <f t="shared" si="145"/>
        <v>-27498.139911819948</v>
      </c>
      <c r="BY234" s="111">
        <f t="shared" si="145"/>
        <v>-28095.941102448633</v>
      </c>
      <c r="BZ234" s="111">
        <f t="shared" si="145"/>
        <v>-28706.738308977416</v>
      </c>
      <c r="CA234" s="111">
        <f t="shared" si="145"/>
        <v>-29330.814060835688</v>
      </c>
      <c r="CB234" s="111">
        <f t="shared" si="145"/>
        <v>0</v>
      </c>
      <c r="CC234" s="111">
        <f t="shared" si="145"/>
        <v>0</v>
      </c>
      <c r="CD234" s="111">
        <f t="shared" si="145"/>
        <v>0</v>
      </c>
      <c r="CE234" s="111">
        <f t="shared" si="145"/>
        <v>0</v>
      </c>
      <c r="CF234" s="111">
        <f t="shared" si="145"/>
        <v>0</v>
      </c>
      <c r="CG234" s="111">
        <f t="shared" si="145"/>
        <v>0</v>
      </c>
      <c r="CH234" s="111">
        <f t="shared" si="145"/>
        <v>0</v>
      </c>
      <c r="CI234" s="111">
        <f t="shared" si="145"/>
        <v>0</v>
      </c>
      <c r="CJ234" s="111">
        <f t="shared" si="145"/>
        <v>0</v>
      </c>
      <c r="CK234" s="111">
        <f t="shared" si="145"/>
        <v>0</v>
      </c>
      <c r="CL234" s="111">
        <f t="shared" si="145"/>
        <v>0</v>
      </c>
      <c r="CM234" s="111">
        <f t="shared" si="145"/>
        <v>0</v>
      </c>
      <c r="CN234" s="111">
        <f t="shared" si="145"/>
        <v>0</v>
      </c>
      <c r="CO234" s="111">
        <f t="shared" si="145"/>
        <v>0</v>
      </c>
      <c r="CP234" s="111">
        <f t="shared" si="145"/>
        <v>0</v>
      </c>
      <c r="CQ234" s="52" t="s">
        <v>249</v>
      </c>
    </row>
    <row r="235" spans="1:95" outlineLevel="1" x14ac:dyDescent="0.25">
      <c r="B235" t="s">
        <v>73</v>
      </c>
      <c r="D235" s="111">
        <f t="shared" ref="D235:BO235" si="146">Change_in_PM10_net_total_assessment*-(PM10_damage_costs_central)</f>
        <v>0</v>
      </c>
      <c r="E235" s="111">
        <f t="shared" si="146"/>
        <v>0</v>
      </c>
      <c r="F235" s="111">
        <f t="shared" si="146"/>
        <v>0</v>
      </c>
      <c r="G235" s="111">
        <f t="shared" si="146"/>
        <v>0</v>
      </c>
      <c r="H235" s="111">
        <f t="shared" si="146"/>
        <v>0</v>
      </c>
      <c r="I235" s="111">
        <f t="shared" si="146"/>
        <v>0</v>
      </c>
      <c r="J235" s="111">
        <f t="shared" si="146"/>
        <v>0</v>
      </c>
      <c r="K235" s="111">
        <f t="shared" si="146"/>
        <v>0</v>
      </c>
      <c r="L235" s="111">
        <f t="shared" si="146"/>
        <v>0</v>
      </c>
      <c r="M235" s="111">
        <f t="shared" si="146"/>
        <v>0</v>
      </c>
      <c r="N235" s="111">
        <f t="shared" si="146"/>
        <v>0</v>
      </c>
      <c r="O235" s="111">
        <f t="shared" si="146"/>
        <v>0</v>
      </c>
      <c r="P235" s="111">
        <f t="shared" si="146"/>
        <v>0</v>
      </c>
      <c r="Q235" s="111">
        <f t="shared" si="146"/>
        <v>0</v>
      </c>
      <c r="R235" s="111">
        <f t="shared" si="146"/>
        <v>0</v>
      </c>
      <c r="S235" s="111">
        <f t="shared" si="146"/>
        <v>0</v>
      </c>
      <c r="T235" s="111">
        <f t="shared" si="146"/>
        <v>-8392.5248830794189</v>
      </c>
      <c r="U235" s="111">
        <f t="shared" si="146"/>
        <v>-9348.0566134455676</v>
      </c>
      <c r="V235" s="111">
        <f t="shared" si="146"/>
        <v>-10335.497903465095</v>
      </c>
      <c r="W235" s="111">
        <f t="shared" si="146"/>
        <v>-11355.816822701818</v>
      </c>
      <c r="X235" s="111">
        <f t="shared" si="146"/>
        <v>-12410.58385203388</v>
      </c>
      <c r="Y235" s="111">
        <f t="shared" si="146"/>
        <v>-13499.393293277572</v>
      </c>
      <c r="Z235" s="111">
        <f t="shared" si="146"/>
        <v>-14626.593543804607</v>
      </c>
      <c r="AA235" s="111">
        <f t="shared" si="146"/>
        <v>-15793.218434825068</v>
      </c>
      <c r="AB235" s="111">
        <f t="shared" si="146"/>
        <v>-17055.827411499296</v>
      </c>
      <c r="AC235" s="111">
        <f t="shared" si="146"/>
        <v>-18349.505792703672</v>
      </c>
      <c r="AD235" s="111">
        <f t="shared" si="146"/>
        <v>-19691.095029119399</v>
      </c>
      <c r="AE235" s="111">
        <f t="shared" si="146"/>
        <v>-20100.421805115198</v>
      </c>
      <c r="AF235" s="111">
        <f t="shared" si="146"/>
        <v>-20520.997695860449</v>
      </c>
      <c r="AG235" s="111">
        <f t="shared" si="146"/>
        <v>-20950.373604913329</v>
      </c>
      <c r="AH235" s="111">
        <f t="shared" si="146"/>
        <v>-21388.73366152119</v>
      </c>
      <c r="AI235" s="111">
        <f t="shared" si="146"/>
        <v>-21836.265847602877</v>
      </c>
      <c r="AJ235" s="111">
        <f t="shared" si="146"/>
        <v>-22297.187243134147</v>
      </c>
      <c r="AK235" s="111">
        <f t="shared" si="146"/>
        <v>-22767.83779906038</v>
      </c>
      <c r="AL235" s="111">
        <f t="shared" si="146"/>
        <v>-23248.422879165759</v>
      </c>
      <c r="AM235" s="111">
        <f t="shared" si="146"/>
        <v>-23739.152182067264</v>
      </c>
      <c r="AN235" s="111">
        <f t="shared" si="146"/>
        <v>-24263.888847185615</v>
      </c>
      <c r="AO235" s="111">
        <f t="shared" si="146"/>
        <v>-24782.585410941079</v>
      </c>
      <c r="AP235" s="111">
        <f t="shared" si="146"/>
        <v>-25312.370309585731</v>
      </c>
      <c r="AQ235" s="111">
        <f t="shared" si="146"/>
        <v>-25853.480581841643</v>
      </c>
      <c r="AR235" s="111">
        <f t="shared" si="146"/>
        <v>-26406.158333680058</v>
      </c>
      <c r="AS235" s="111">
        <f t="shared" si="146"/>
        <v>-26944.338016551235</v>
      </c>
      <c r="AT235" s="111">
        <f t="shared" si="146"/>
        <v>-27502.218292067399</v>
      </c>
      <c r="AU235" s="111">
        <f t="shared" si="146"/>
        <v>-28071.649432244572</v>
      </c>
      <c r="AV235" s="111">
        <f t="shared" si="146"/>
        <v>-28652.870596773973</v>
      </c>
      <c r="AW235" s="111">
        <f t="shared" si="146"/>
        <v>-29246.125897128277</v>
      </c>
      <c r="AX235" s="111">
        <f t="shared" si="146"/>
        <v>-29851.664499087918</v>
      </c>
      <c r="AY235" s="111">
        <f t="shared" si="146"/>
        <v>-30476.899132784649</v>
      </c>
      <c r="AZ235" s="111">
        <f t="shared" si="146"/>
        <v>-31145.615094234548</v>
      </c>
      <c r="BA235" s="111">
        <f t="shared" si="146"/>
        <v>-31829.003842280927</v>
      </c>
      <c r="BB235" s="111">
        <f t="shared" si="146"/>
        <v>-32559.121359692021</v>
      </c>
      <c r="BC235" s="111">
        <f t="shared" si="146"/>
        <v>-33305.986859285411</v>
      </c>
      <c r="BD235" s="111">
        <f t="shared" si="146"/>
        <v>-34071.966291494529</v>
      </c>
      <c r="BE235" s="111">
        <f t="shared" si="146"/>
        <v>-34854.654837762595</v>
      </c>
      <c r="BF235" s="111">
        <f t="shared" si="146"/>
        <v>-35620.571237599914</v>
      </c>
      <c r="BG235" s="111">
        <f t="shared" si="146"/>
        <v>-36403.31832861092</v>
      </c>
      <c r="BH235" s="111">
        <f t="shared" si="146"/>
        <v>-37203.265958164644</v>
      </c>
      <c r="BI235" s="111">
        <f t="shared" si="146"/>
        <v>-38015.717191608615</v>
      </c>
      <c r="BJ235" s="111">
        <f t="shared" si="146"/>
        <v>-38845.910872919056</v>
      </c>
      <c r="BK235" s="111">
        <f t="shared" si="146"/>
        <v>-39694.234464682428</v>
      </c>
      <c r="BL235" s="111">
        <f t="shared" si="146"/>
        <v>-40561.0838909589</v>
      </c>
      <c r="BM235" s="111">
        <f t="shared" si="146"/>
        <v>-41446.863722065435</v>
      </c>
      <c r="BN235" s="111">
        <f t="shared" si="146"/>
        <v>-42345.539125313087</v>
      </c>
      <c r="BO235" s="111">
        <f t="shared" si="146"/>
        <v>-43263.700139964749</v>
      </c>
      <c r="BP235" s="111">
        <f t="shared" ref="BP235:CP235" si="147">Change_in_PM10_net_total_assessment*-(PM10_damage_costs_central)</f>
        <v>-44201.769264567039</v>
      </c>
      <c r="BQ235" s="111">
        <f t="shared" si="147"/>
        <v>-45160.178158529918</v>
      </c>
      <c r="BR235" s="111">
        <f t="shared" si="147"/>
        <v>-46139.367840757826</v>
      </c>
      <c r="BS235" s="111">
        <f t="shared" si="147"/>
        <v>-47138.442280486292</v>
      </c>
      <c r="BT235" s="111">
        <f t="shared" si="147"/>
        <v>-48159.150084147353</v>
      </c>
      <c r="BU235" s="111">
        <f t="shared" si="147"/>
        <v>-49201.959687741801</v>
      </c>
      <c r="BV235" s="111">
        <f t="shared" si="147"/>
        <v>-50267.349670505086</v>
      </c>
      <c r="BW235" s="111">
        <f t="shared" si="147"/>
        <v>-51355.808974542881</v>
      </c>
      <c r="BX235" s="111">
        <f t="shared" si="147"/>
        <v>-52472.268627782367</v>
      </c>
      <c r="BY235" s="111">
        <f t="shared" si="147"/>
        <v>-53612.99977400776</v>
      </c>
      <c r="BZ235" s="111">
        <f t="shared" si="147"/>
        <v>-54778.530068087799</v>
      </c>
      <c r="CA235" s="111">
        <f t="shared" si="147"/>
        <v>-55969.398635947422</v>
      </c>
      <c r="CB235" s="111">
        <f t="shared" si="147"/>
        <v>0</v>
      </c>
      <c r="CC235" s="111">
        <f t="shared" si="147"/>
        <v>0</v>
      </c>
      <c r="CD235" s="111">
        <f t="shared" si="147"/>
        <v>0</v>
      </c>
      <c r="CE235" s="111">
        <f t="shared" si="147"/>
        <v>0</v>
      </c>
      <c r="CF235" s="111">
        <f t="shared" si="147"/>
        <v>0</v>
      </c>
      <c r="CG235" s="111">
        <f t="shared" si="147"/>
        <v>0</v>
      </c>
      <c r="CH235" s="111">
        <f t="shared" si="147"/>
        <v>0</v>
      </c>
      <c r="CI235" s="111">
        <f t="shared" si="147"/>
        <v>0</v>
      </c>
      <c r="CJ235" s="111">
        <f t="shared" si="147"/>
        <v>0</v>
      </c>
      <c r="CK235" s="111">
        <f t="shared" si="147"/>
        <v>0</v>
      </c>
      <c r="CL235" s="111">
        <f t="shared" si="147"/>
        <v>0</v>
      </c>
      <c r="CM235" s="111">
        <f t="shared" si="147"/>
        <v>0</v>
      </c>
      <c r="CN235" s="111">
        <f t="shared" si="147"/>
        <v>0</v>
      </c>
      <c r="CO235" s="111">
        <f t="shared" si="147"/>
        <v>0</v>
      </c>
      <c r="CP235" s="111">
        <f t="shared" si="147"/>
        <v>0</v>
      </c>
      <c r="CQ235" s="52" t="s">
        <v>250</v>
      </c>
    </row>
    <row r="236" spans="1:95" outlineLevel="1" x14ac:dyDescent="0.25">
      <c r="B236" t="s">
        <v>74</v>
      </c>
      <c r="D236" s="111">
        <f t="shared" ref="D236:BO236" si="148">Change_in_PM10_net_total_assessment*-(PM10_damage_costs_high)</f>
        <v>0</v>
      </c>
      <c r="E236" s="111">
        <f t="shared" si="148"/>
        <v>0</v>
      </c>
      <c r="F236" s="111">
        <f t="shared" si="148"/>
        <v>0</v>
      </c>
      <c r="G236" s="111">
        <f t="shared" si="148"/>
        <v>0</v>
      </c>
      <c r="H236" s="111">
        <f t="shared" si="148"/>
        <v>0</v>
      </c>
      <c r="I236" s="111">
        <f t="shared" si="148"/>
        <v>0</v>
      </c>
      <c r="J236" s="111">
        <f t="shared" si="148"/>
        <v>0</v>
      </c>
      <c r="K236" s="111">
        <f t="shared" si="148"/>
        <v>0</v>
      </c>
      <c r="L236" s="111">
        <f t="shared" si="148"/>
        <v>0</v>
      </c>
      <c r="M236" s="111">
        <f t="shared" si="148"/>
        <v>0</v>
      </c>
      <c r="N236" s="111">
        <f t="shared" si="148"/>
        <v>0</v>
      </c>
      <c r="O236" s="111">
        <f t="shared" si="148"/>
        <v>0</v>
      </c>
      <c r="P236" s="111">
        <f t="shared" si="148"/>
        <v>0</v>
      </c>
      <c r="Q236" s="111">
        <f t="shared" si="148"/>
        <v>0</v>
      </c>
      <c r="R236" s="111">
        <f t="shared" si="148"/>
        <v>0</v>
      </c>
      <c r="S236" s="111">
        <f t="shared" si="148"/>
        <v>0</v>
      </c>
      <c r="T236" s="111">
        <f t="shared" si="148"/>
        <v>-9536.6309499703166</v>
      </c>
      <c r="U236" s="111">
        <f t="shared" si="148"/>
        <v>-10622.424986978269</v>
      </c>
      <c r="V236" s="111">
        <f t="shared" si="148"/>
        <v>-11744.478635775264</v>
      </c>
      <c r="W236" s="111">
        <f t="shared" si="148"/>
        <v>-12903.891937444603</v>
      </c>
      <c r="X236" s="111">
        <f t="shared" si="148"/>
        <v>-14102.449467755496</v>
      </c>
      <c r="Y236" s="111">
        <f t="shared" si="148"/>
        <v>-15339.690221955618</v>
      </c>
      <c r="Z236" s="111">
        <f t="shared" si="148"/>
        <v>-16620.555390155881</v>
      </c>
      <c r="AA236" s="111">
        <f t="shared" si="148"/>
        <v>-17946.219740003984</v>
      </c>
      <c r="AB236" s="111">
        <f t="shared" si="148"/>
        <v>-19380.953150081597</v>
      </c>
      <c r="AC236" s="111">
        <f t="shared" si="148"/>
        <v>-20850.991483167159</v>
      </c>
      <c r="AD236" s="111">
        <f t="shared" si="148"/>
        <v>-22375.47209089754</v>
      </c>
      <c r="AE236" s="111">
        <f t="shared" si="148"/>
        <v>-22840.600101239615</v>
      </c>
      <c r="AF236" s="111">
        <f t="shared" si="148"/>
        <v>-23318.510755347892</v>
      </c>
      <c r="AG236" s="111">
        <f t="shared" si="148"/>
        <v>-23806.421085134472</v>
      </c>
      <c r="AH236" s="111">
        <f t="shared" si="148"/>
        <v>-24304.540321159111</v>
      </c>
      <c r="AI236" s="111">
        <f t="shared" si="148"/>
        <v>-24813.082071866254</v>
      </c>
      <c r="AJ236" s="111">
        <f t="shared" si="148"/>
        <v>-25336.83830820334</v>
      </c>
      <c r="AK236" s="111">
        <f t="shared" si="148"/>
        <v>-25871.650027059986</v>
      </c>
      <c r="AL236" s="111">
        <f t="shared" si="148"/>
        <v>-26417.750588318639</v>
      </c>
      <c r="AM236" s="111">
        <f t="shared" si="148"/>
        <v>-26975.378277638127</v>
      </c>
      <c r="AN236" s="111">
        <f t="shared" si="148"/>
        <v>-27571.649363022825</v>
      </c>
      <c r="AO236" s="111">
        <f t="shared" si="148"/>
        <v>-28161.05693374409</v>
      </c>
      <c r="AP236" s="111">
        <f t="shared" si="148"/>
        <v>-28763.064450150479</v>
      </c>
      <c r="AQ236" s="111">
        <f t="shared" si="148"/>
        <v>-29377.941265129808</v>
      </c>
      <c r="AR236" s="111">
        <f t="shared" si="148"/>
        <v>-30005.962489608835</v>
      </c>
      <c r="AS236" s="111">
        <f t="shared" si="148"/>
        <v>-30617.509204312322</v>
      </c>
      <c r="AT236" s="111">
        <f t="shared" si="148"/>
        <v>-31251.442183479521</v>
      </c>
      <c r="AU236" s="111">
        <f t="shared" si="148"/>
        <v>-31898.500692205438</v>
      </c>
      <c r="AV236" s="111">
        <f t="shared" si="148"/>
        <v>-32558.956493486901</v>
      </c>
      <c r="AW236" s="111">
        <f t="shared" si="148"/>
        <v>-33233.086977150946</v>
      </c>
      <c r="AX236" s="111">
        <f t="shared" si="148"/>
        <v>-33921.175276357877</v>
      </c>
      <c r="AY236" s="111">
        <f t="shared" si="148"/>
        <v>-34631.64465735753</v>
      </c>
      <c r="AZ236" s="111">
        <f t="shared" si="148"/>
        <v>-35391.522932792832</v>
      </c>
      <c r="BA236" s="111">
        <f t="shared" si="148"/>
        <v>-36168.074253911975</v>
      </c>
      <c r="BB236" s="111">
        <f t="shared" si="148"/>
        <v>-36997.724616664709</v>
      </c>
      <c r="BC236" s="111">
        <f t="shared" si="148"/>
        <v>-37846.406120516716</v>
      </c>
      <c r="BD236" s="111">
        <f t="shared" si="148"/>
        <v>-38716.807252716389</v>
      </c>
      <c r="BE236" s="111">
        <f t="shared" si="148"/>
        <v>-39606.195359217723</v>
      </c>
      <c r="BF236" s="111">
        <f t="shared" si="148"/>
        <v>-40476.524866194202</v>
      </c>
      <c r="BG236" s="111">
        <f t="shared" si="148"/>
        <v>-41365.979498516463</v>
      </c>
      <c r="BH236" s="111">
        <f t="shared" si="148"/>
        <v>-42274.979522780697</v>
      </c>
      <c r="BI236" s="111">
        <f t="shared" si="148"/>
        <v>-43198.187697453446</v>
      </c>
      <c r="BJ236" s="111">
        <f t="shared" si="148"/>
        <v>-44141.557048864874</v>
      </c>
      <c r="BK236" s="111">
        <f t="shared" si="148"/>
        <v>-45105.527860212904</v>
      </c>
      <c r="BL236" s="111">
        <f t="shared" si="148"/>
        <v>-46090.550029674603</v>
      </c>
      <c r="BM236" s="111">
        <f t="shared" si="148"/>
        <v>-47097.083280379789</v>
      </c>
      <c r="BN236" s="111">
        <f t="shared" si="148"/>
        <v>-48118.270084587864</v>
      </c>
      <c r="BO236" s="111">
        <f t="shared" si="148"/>
        <v>-49161.598864826206</v>
      </c>
      <c r="BP236" s="111">
        <f t="shared" ref="BP236:CP236" si="149">Change_in_PM10_net_total_assessment*-(PM10_damage_costs_high)</f>
        <v>-50227.54971650974</v>
      </c>
      <c r="BQ236" s="111">
        <f t="shared" si="149"/>
        <v>-51316.613144766081</v>
      </c>
      <c r="BR236" s="111">
        <f t="shared" si="149"/>
        <v>-52429.290290145</v>
      </c>
      <c r="BS236" s="111">
        <f t="shared" si="149"/>
        <v>-53564.562971009873</v>
      </c>
      <c r="BT236" s="111">
        <f t="shared" si="149"/>
        <v>-54724.418171546211</v>
      </c>
      <c r="BU236" s="111">
        <f t="shared" si="149"/>
        <v>-55909.388187019802</v>
      </c>
      <c r="BV236" s="111">
        <f t="shared" si="149"/>
        <v>-57120.016838701638</v>
      </c>
      <c r="BW236" s="111">
        <f t="shared" si="149"/>
        <v>-58356.859723445188</v>
      </c>
      <c r="BX236" s="111">
        <f t="shared" si="149"/>
        <v>-59625.520088687983</v>
      </c>
      <c r="BY236" s="111">
        <f t="shared" si="149"/>
        <v>-60921.760744062318</v>
      </c>
      <c r="BZ236" s="111">
        <f t="shared" si="149"/>
        <v>-62246.181276679577</v>
      </c>
      <c r="CA236" s="111">
        <f t="shared" si="149"/>
        <v>-63599.394308492454</v>
      </c>
      <c r="CB236" s="111">
        <f t="shared" si="149"/>
        <v>0</v>
      </c>
      <c r="CC236" s="111">
        <f t="shared" si="149"/>
        <v>0</v>
      </c>
      <c r="CD236" s="111">
        <f t="shared" si="149"/>
        <v>0</v>
      </c>
      <c r="CE236" s="111">
        <f t="shared" si="149"/>
        <v>0</v>
      </c>
      <c r="CF236" s="111">
        <f t="shared" si="149"/>
        <v>0</v>
      </c>
      <c r="CG236" s="111">
        <f t="shared" si="149"/>
        <v>0</v>
      </c>
      <c r="CH236" s="111">
        <f t="shared" si="149"/>
        <v>0</v>
      </c>
      <c r="CI236" s="111">
        <f t="shared" si="149"/>
        <v>0</v>
      </c>
      <c r="CJ236" s="111">
        <f t="shared" si="149"/>
        <v>0</v>
      </c>
      <c r="CK236" s="111">
        <f t="shared" si="149"/>
        <v>0</v>
      </c>
      <c r="CL236" s="111">
        <f t="shared" si="149"/>
        <v>0</v>
      </c>
      <c r="CM236" s="111">
        <f t="shared" si="149"/>
        <v>0</v>
      </c>
      <c r="CN236" s="111">
        <f t="shared" si="149"/>
        <v>0</v>
      </c>
      <c r="CO236" s="111">
        <f t="shared" si="149"/>
        <v>0</v>
      </c>
      <c r="CP236" s="111">
        <f t="shared" si="149"/>
        <v>0</v>
      </c>
      <c r="CQ236" s="52" t="s">
        <v>251</v>
      </c>
    </row>
    <row r="237" spans="1:95" x14ac:dyDescent="0.25">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c r="CO237" s="91"/>
      <c r="CP237" s="91"/>
      <c r="CQ237" s="88"/>
    </row>
    <row r="238" spans="1:95" ht="18.75" x14ac:dyDescent="0.3">
      <c r="A238" s="55"/>
      <c r="B238" s="55" t="s">
        <v>417</v>
      </c>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row>
    <row r="239" spans="1:95" hidden="1" outlineLevel="1" x14ac:dyDescent="0.25"/>
    <row r="240" spans="1:95" ht="15.75" hidden="1" outlineLevel="1" x14ac:dyDescent="0.25">
      <c r="A240" s="56"/>
      <c r="B240" s="56" t="s">
        <v>50</v>
      </c>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row>
    <row r="241" spans="1:95" hidden="1" outlineLevel="1" x14ac:dyDescent="0.25"/>
    <row r="242" spans="1:95" hidden="1" outlineLevel="1" x14ac:dyDescent="0.25">
      <c r="B242" t="s">
        <v>14</v>
      </c>
      <c r="C242" s="65">
        <f>Current_year_in</f>
        <v>2017</v>
      </c>
      <c r="D242" s="52" t="s">
        <v>51</v>
      </c>
    </row>
    <row r="243" spans="1:95" hidden="1" outlineLevel="1" x14ac:dyDescent="0.25">
      <c r="B243" t="s">
        <v>23</v>
      </c>
      <c r="C243" s="64">
        <f>PV_base_year_in</f>
        <v>2010</v>
      </c>
      <c r="D243" s="52" t="s">
        <v>52</v>
      </c>
    </row>
    <row r="244" spans="1:95" hidden="1" outlineLevel="1" x14ac:dyDescent="0.25">
      <c r="B244" t="s">
        <v>17</v>
      </c>
      <c r="C244" s="64">
        <f>Discount_period_1_in</f>
        <v>30</v>
      </c>
      <c r="D244" s="62" t="s">
        <v>53</v>
      </c>
    </row>
    <row r="245" spans="1:95" hidden="1" outlineLevel="1" x14ac:dyDescent="0.25">
      <c r="B245" t="s">
        <v>18</v>
      </c>
      <c r="C245" s="64">
        <f>Discount_period_2_in</f>
        <v>75</v>
      </c>
      <c r="D245" s="62" t="s">
        <v>54</v>
      </c>
    </row>
    <row r="246" spans="1:95" hidden="1" outlineLevel="1" x14ac:dyDescent="0.25">
      <c r="B246" t="s">
        <v>19</v>
      </c>
      <c r="C246" s="64">
        <f>Discount_period_3_in</f>
        <v>125</v>
      </c>
      <c r="D246" s="62" t="s">
        <v>55</v>
      </c>
    </row>
    <row r="247" spans="1:95" hidden="1" outlineLevel="1" x14ac:dyDescent="0.25"/>
    <row r="248" spans="1:95" hidden="1" outlineLevel="1" x14ac:dyDescent="0.25">
      <c r="B248" s="52" t="s">
        <v>47</v>
      </c>
    </row>
    <row r="249" spans="1:95" hidden="1" outlineLevel="1" x14ac:dyDescent="0.25">
      <c r="B249" t="s">
        <v>59</v>
      </c>
      <c r="D249">
        <f t="shared" ref="D249:AI249" si="150">AND(year&gt;PV_base_year,year&lt;=(Current_year+Discount_period_1))*1</f>
        <v>0</v>
      </c>
      <c r="E249">
        <f t="shared" si="150"/>
        <v>1</v>
      </c>
      <c r="F249">
        <f t="shared" si="150"/>
        <v>1</v>
      </c>
      <c r="G249">
        <f t="shared" si="150"/>
        <v>1</v>
      </c>
      <c r="H249">
        <f t="shared" si="150"/>
        <v>1</v>
      </c>
      <c r="I249">
        <f t="shared" si="150"/>
        <v>1</v>
      </c>
      <c r="J249">
        <f t="shared" si="150"/>
        <v>1</v>
      </c>
      <c r="K249">
        <f t="shared" si="150"/>
        <v>1</v>
      </c>
      <c r="L249">
        <f t="shared" si="150"/>
        <v>1</v>
      </c>
      <c r="M249">
        <f t="shared" si="150"/>
        <v>1</v>
      </c>
      <c r="N249">
        <f t="shared" si="150"/>
        <v>1</v>
      </c>
      <c r="O249">
        <f t="shared" si="150"/>
        <v>1</v>
      </c>
      <c r="P249">
        <f t="shared" si="150"/>
        <v>1</v>
      </c>
      <c r="Q249">
        <f t="shared" si="150"/>
        <v>1</v>
      </c>
      <c r="R249">
        <f t="shared" si="150"/>
        <v>1</v>
      </c>
      <c r="S249">
        <f t="shared" si="150"/>
        <v>1</v>
      </c>
      <c r="T249">
        <f t="shared" si="150"/>
        <v>1</v>
      </c>
      <c r="U249">
        <f t="shared" si="150"/>
        <v>1</v>
      </c>
      <c r="V249">
        <f t="shared" si="150"/>
        <v>1</v>
      </c>
      <c r="W249">
        <f t="shared" si="150"/>
        <v>1</v>
      </c>
      <c r="X249">
        <f t="shared" si="150"/>
        <v>1</v>
      </c>
      <c r="Y249">
        <f t="shared" si="150"/>
        <v>1</v>
      </c>
      <c r="Z249">
        <f t="shared" si="150"/>
        <v>1</v>
      </c>
      <c r="AA249">
        <f t="shared" si="150"/>
        <v>1</v>
      </c>
      <c r="AB249">
        <f t="shared" si="150"/>
        <v>1</v>
      </c>
      <c r="AC249">
        <f t="shared" si="150"/>
        <v>1</v>
      </c>
      <c r="AD249">
        <f t="shared" si="150"/>
        <v>1</v>
      </c>
      <c r="AE249">
        <f t="shared" si="150"/>
        <v>1</v>
      </c>
      <c r="AF249">
        <f t="shared" si="150"/>
        <v>1</v>
      </c>
      <c r="AG249">
        <f t="shared" si="150"/>
        <v>1</v>
      </c>
      <c r="AH249">
        <f t="shared" si="150"/>
        <v>1</v>
      </c>
      <c r="AI249">
        <f t="shared" si="150"/>
        <v>1</v>
      </c>
      <c r="AJ249">
        <f t="shared" ref="AJ249:BO249" si="151">AND(year&gt;PV_base_year,year&lt;=(Current_year+Discount_period_1))*1</f>
        <v>1</v>
      </c>
      <c r="AK249">
        <f t="shared" si="151"/>
        <v>1</v>
      </c>
      <c r="AL249">
        <f t="shared" si="151"/>
        <v>1</v>
      </c>
      <c r="AM249">
        <f t="shared" si="151"/>
        <v>1</v>
      </c>
      <c r="AN249">
        <f t="shared" si="151"/>
        <v>1</v>
      </c>
      <c r="AO249">
        <f t="shared" si="151"/>
        <v>1</v>
      </c>
      <c r="AP249">
        <f t="shared" si="151"/>
        <v>0</v>
      </c>
      <c r="AQ249">
        <f t="shared" si="151"/>
        <v>0</v>
      </c>
      <c r="AR249">
        <f t="shared" si="151"/>
        <v>0</v>
      </c>
      <c r="AS249">
        <f t="shared" si="151"/>
        <v>0</v>
      </c>
      <c r="AT249">
        <f t="shared" si="151"/>
        <v>0</v>
      </c>
      <c r="AU249">
        <f t="shared" si="151"/>
        <v>0</v>
      </c>
      <c r="AV249">
        <f t="shared" si="151"/>
        <v>0</v>
      </c>
      <c r="AW249">
        <f t="shared" si="151"/>
        <v>0</v>
      </c>
      <c r="AX249">
        <f t="shared" si="151"/>
        <v>0</v>
      </c>
      <c r="AY249">
        <f t="shared" si="151"/>
        <v>0</v>
      </c>
      <c r="AZ249">
        <f t="shared" si="151"/>
        <v>0</v>
      </c>
      <c r="BA249">
        <f t="shared" si="151"/>
        <v>0</v>
      </c>
      <c r="BB249">
        <f t="shared" si="151"/>
        <v>0</v>
      </c>
      <c r="BC249">
        <f t="shared" si="151"/>
        <v>0</v>
      </c>
      <c r="BD249">
        <f t="shared" si="151"/>
        <v>0</v>
      </c>
      <c r="BE249">
        <f t="shared" si="151"/>
        <v>0</v>
      </c>
      <c r="BF249">
        <f t="shared" si="151"/>
        <v>0</v>
      </c>
      <c r="BG249">
        <f t="shared" si="151"/>
        <v>0</v>
      </c>
      <c r="BH249">
        <f t="shared" si="151"/>
        <v>0</v>
      </c>
      <c r="BI249">
        <f t="shared" si="151"/>
        <v>0</v>
      </c>
      <c r="BJ249">
        <f t="shared" si="151"/>
        <v>0</v>
      </c>
      <c r="BK249">
        <f t="shared" si="151"/>
        <v>0</v>
      </c>
      <c r="BL249">
        <f t="shared" si="151"/>
        <v>0</v>
      </c>
      <c r="BM249">
        <f t="shared" si="151"/>
        <v>0</v>
      </c>
      <c r="BN249">
        <f t="shared" si="151"/>
        <v>0</v>
      </c>
      <c r="BO249">
        <f t="shared" si="151"/>
        <v>0</v>
      </c>
      <c r="BP249">
        <f t="shared" ref="BP249:CP249" si="152">AND(year&gt;PV_base_year,year&lt;=(Current_year+Discount_period_1))*1</f>
        <v>0</v>
      </c>
      <c r="BQ249">
        <f t="shared" si="152"/>
        <v>0</v>
      </c>
      <c r="BR249">
        <f t="shared" si="152"/>
        <v>0</v>
      </c>
      <c r="BS249">
        <f t="shared" si="152"/>
        <v>0</v>
      </c>
      <c r="BT249">
        <f t="shared" si="152"/>
        <v>0</v>
      </c>
      <c r="BU249">
        <f t="shared" si="152"/>
        <v>0</v>
      </c>
      <c r="BV249">
        <f t="shared" si="152"/>
        <v>0</v>
      </c>
      <c r="BW249">
        <f t="shared" si="152"/>
        <v>0</v>
      </c>
      <c r="BX249">
        <f t="shared" si="152"/>
        <v>0</v>
      </c>
      <c r="BY249">
        <f t="shared" si="152"/>
        <v>0</v>
      </c>
      <c r="BZ249">
        <f t="shared" si="152"/>
        <v>0</v>
      </c>
      <c r="CA249">
        <f t="shared" si="152"/>
        <v>0</v>
      </c>
      <c r="CB249">
        <f t="shared" si="152"/>
        <v>0</v>
      </c>
      <c r="CC249">
        <f t="shared" si="152"/>
        <v>0</v>
      </c>
      <c r="CD249">
        <f t="shared" si="152"/>
        <v>0</v>
      </c>
      <c r="CE249">
        <f t="shared" si="152"/>
        <v>0</v>
      </c>
      <c r="CF249">
        <f t="shared" si="152"/>
        <v>0</v>
      </c>
      <c r="CG249">
        <f t="shared" si="152"/>
        <v>0</v>
      </c>
      <c r="CH249">
        <f t="shared" si="152"/>
        <v>0</v>
      </c>
      <c r="CI249">
        <f t="shared" si="152"/>
        <v>0</v>
      </c>
      <c r="CJ249">
        <f t="shared" si="152"/>
        <v>0</v>
      </c>
      <c r="CK249">
        <f t="shared" si="152"/>
        <v>0</v>
      </c>
      <c r="CL249">
        <f t="shared" si="152"/>
        <v>0</v>
      </c>
      <c r="CM249">
        <f t="shared" si="152"/>
        <v>0</v>
      </c>
      <c r="CN249">
        <f t="shared" si="152"/>
        <v>0</v>
      </c>
      <c r="CO249">
        <f t="shared" si="152"/>
        <v>0</v>
      </c>
      <c r="CP249">
        <f t="shared" si="152"/>
        <v>0</v>
      </c>
      <c r="CQ249" s="52" t="s">
        <v>411</v>
      </c>
    </row>
    <row r="250" spans="1:95" hidden="1" outlineLevel="1" x14ac:dyDescent="0.25">
      <c r="B250" t="s">
        <v>60</v>
      </c>
      <c r="D250">
        <f t="shared" ref="D250:AI250" si="153">AND(year&gt;Current_year+Discount_period_1,year&lt;=Current_year+Discount_period_2)*1</f>
        <v>0</v>
      </c>
      <c r="E250">
        <f t="shared" si="153"/>
        <v>0</v>
      </c>
      <c r="F250">
        <f t="shared" si="153"/>
        <v>0</v>
      </c>
      <c r="G250">
        <f t="shared" si="153"/>
        <v>0</v>
      </c>
      <c r="H250">
        <f t="shared" si="153"/>
        <v>0</v>
      </c>
      <c r="I250">
        <f t="shared" si="153"/>
        <v>0</v>
      </c>
      <c r="J250">
        <f t="shared" si="153"/>
        <v>0</v>
      </c>
      <c r="K250">
        <f t="shared" si="153"/>
        <v>0</v>
      </c>
      <c r="L250">
        <f t="shared" si="153"/>
        <v>0</v>
      </c>
      <c r="M250">
        <f t="shared" si="153"/>
        <v>0</v>
      </c>
      <c r="N250">
        <f t="shared" si="153"/>
        <v>0</v>
      </c>
      <c r="O250">
        <f t="shared" si="153"/>
        <v>0</v>
      </c>
      <c r="P250">
        <f t="shared" si="153"/>
        <v>0</v>
      </c>
      <c r="Q250">
        <f t="shared" si="153"/>
        <v>0</v>
      </c>
      <c r="R250">
        <f t="shared" si="153"/>
        <v>0</v>
      </c>
      <c r="S250">
        <f t="shared" si="153"/>
        <v>0</v>
      </c>
      <c r="T250">
        <f t="shared" si="153"/>
        <v>0</v>
      </c>
      <c r="U250">
        <f t="shared" si="153"/>
        <v>0</v>
      </c>
      <c r="V250">
        <f t="shared" si="153"/>
        <v>0</v>
      </c>
      <c r="W250">
        <f t="shared" si="153"/>
        <v>0</v>
      </c>
      <c r="X250">
        <f t="shared" si="153"/>
        <v>0</v>
      </c>
      <c r="Y250">
        <f t="shared" si="153"/>
        <v>0</v>
      </c>
      <c r="Z250">
        <f t="shared" si="153"/>
        <v>0</v>
      </c>
      <c r="AA250">
        <f t="shared" si="153"/>
        <v>0</v>
      </c>
      <c r="AB250">
        <f t="shared" si="153"/>
        <v>0</v>
      </c>
      <c r="AC250">
        <f t="shared" si="153"/>
        <v>0</v>
      </c>
      <c r="AD250">
        <f t="shared" si="153"/>
        <v>0</v>
      </c>
      <c r="AE250">
        <f t="shared" si="153"/>
        <v>0</v>
      </c>
      <c r="AF250">
        <f t="shared" si="153"/>
        <v>0</v>
      </c>
      <c r="AG250">
        <f t="shared" si="153"/>
        <v>0</v>
      </c>
      <c r="AH250">
        <f t="shared" si="153"/>
        <v>0</v>
      </c>
      <c r="AI250">
        <f t="shared" si="153"/>
        <v>0</v>
      </c>
      <c r="AJ250">
        <f t="shared" ref="AJ250:BO250" si="154">AND(year&gt;Current_year+Discount_period_1,year&lt;=Current_year+Discount_period_2)*1</f>
        <v>0</v>
      </c>
      <c r="AK250">
        <f t="shared" si="154"/>
        <v>0</v>
      </c>
      <c r="AL250">
        <f t="shared" si="154"/>
        <v>0</v>
      </c>
      <c r="AM250">
        <f t="shared" si="154"/>
        <v>0</v>
      </c>
      <c r="AN250">
        <f t="shared" si="154"/>
        <v>0</v>
      </c>
      <c r="AO250">
        <f t="shared" si="154"/>
        <v>0</v>
      </c>
      <c r="AP250">
        <f t="shared" si="154"/>
        <v>1</v>
      </c>
      <c r="AQ250">
        <f t="shared" si="154"/>
        <v>1</v>
      </c>
      <c r="AR250">
        <f t="shared" si="154"/>
        <v>1</v>
      </c>
      <c r="AS250">
        <f t="shared" si="154"/>
        <v>1</v>
      </c>
      <c r="AT250">
        <f t="shared" si="154"/>
        <v>1</v>
      </c>
      <c r="AU250">
        <f t="shared" si="154"/>
        <v>1</v>
      </c>
      <c r="AV250">
        <f t="shared" si="154"/>
        <v>1</v>
      </c>
      <c r="AW250">
        <f t="shared" si="154"/>
        <v>1</v>
      </c>
      <c r="AX250">
        <f t="shared" si="154"/>
        <v>1</v>
      </c>
      <c r="AY250">
        <f t="shared" si="154"/>
        <v>1</v>
      </c>
      <c r="AZ250">
        <f t="shared" si="154"/>
        <v>1</v>
      </c>
      <c r="BA250">
        <f t="shared" si="154"/>
        <v>1</v>
      </c>
      <c r="BB250">
        <f t="shared" si="154"/>
        <v>1</v>
      </c>
      <c r="BC250">
        <f t="shared" si="154"/>
        <v>1</v>
      </c>
      <c r="BD250">
        <f t="shared" si="154"/>
        <v>1</v>
      </c>
      <c r="BE250">
        <f t="shared" si="154"/>
        <v>1</v>
      </c>
      <c r="BF250">
        <f t="shared" si="154"/>
        <v>1</v>
      </c>
      <c r="BG250">
        <f t="shared" si="154"/>
        <v>1</v>
      </c>
      <c r="BH250">
        <f t="shared" si="154"/>
        <v>1</v>
      </c>
      <c r="BI250">
        <f t="shared" si="154"/>
        <v>1</v>
      </c>
      <c r="BJ250">
        <f t="shared" si="154"/>
        <v>1</v>
      </c>
      <c r="BK250">
        <f t="shared" si="154"/>
        <v>1</v>
      </c>
      <c r="BL250">
        <f t="shared" si="154"/>
        <v>1</v>
      </c>
      <c r="BM250">
        <f t="shared" si="154"/>
        <v>1</v>
      </c>
      <c r="BN250">
        <f t="shared" si="154"/>
        <v>1</v>
      </c>
      <c r="BO250">
        <f t="shared" si="154"/>
        <v>1</v>
      </c>
      <c r="BP250">
        <f t="shared" ref="BP250:CP250" si="155">AND(year&gt;Current_year+Discount_period_1,year&lt;=Current_year+Discount_period_2)*1</f>
        <v>1</v>
      </c>
      <c r="BQ250">
        <f t="shared" si="155"/>
        <v>1</v>
      </c>
      <c r="BR250">
        <f t="shared" si="155"/>
        <v>1</v>
      </c>
      <c r="BS250">
        <f t="shared" si="155"/>
        <v>1</v>
      </c>
      <c r="BT250">
        <f t="shared" si="155"/>
        <v>1</v>
      </c>
      <c r="BU250">
        <f t="shared" si="155"/>
        <v>1</v>
      </c>
      <c r="BV250">
        <f t="shared" si="155"/>
        <v>1</v>
      </c>
      <c r="BW250">
        <f t="shared" si="155"/>
        <v>1</v>
      </c>
      <c r="BX250">
        <f t="shared" si="155"/>
        <v>1</v>
      </c>
      <c r="BY250">
        <f t="shared" si="155"/>
        <v>1</v>
      </c>
      <c r="BZ250">
        <f t="shared" si="155"/>
        <v>1</v>
      </c>
      <c r="CA250">
        <f t="shared" si="155"/>
        <v>1</v>
      </c>
      <c r="CB250">
        <f t="shared" si="155"/>
        <v>1</v>
      </c>
      <c r="CC250">
        <f t="shared" si="155"/>
        <v>1</v>
      </c>
      <c r="CD250">
        <f t="shared" si="155"/>
        <v>1</v>
      </c>
      <c r="CE250">
        <f t="shared" si="155"/>
        <v>1</v>
      </c>
      <c r="CF250">
        <f t="shared" si="155"/>
        <v>1</v>
      </c>
      <c r="CG250">
        <f t="shared" si="155"/>
        <v>1</v>
      </c>
      <c r="CH250">
        <f t="shared" si="155"/>
        <v>1</v>
      </c>
      <c r="CI250">
        <f t="shared" si="155"/>
        <v>0</v>
      </c>
      <c r="CJ250">
        <f t="shared" si="155"/>
        <v>0</v>
      </c>
      <c r="CK250">
        <f t="shared" si="155"/>
        <v>0</v>
      </c>
      <c r="CL250">
        <f t="shared" si="155"/>
        <v>0</v>
      </c>
      <c r="CM250">
        <f t="shared" si="155"/>
        <v>0</v>
      </c>
      <c r="CN250">
        <f t="shared" si="155"/>
        <v>0</v>
      </c>
      <c r="CO250">
        <f t="shared" si="155"/>
        <v>0</v>
      </c>
      <c r="CP250">
        <f t="shared" si="155"/>
        <v>0</v>
      </c>
      <c r="CQ250" s="52" t="s">
        <v>62</v>
      </c>
    </row>
    <row r="251" spans="1:95" hidden="1" outlineLevel="1" x14ac:dyDescent="0.25">
      <c r="B251" t="s">
        <v>61</v>
      </c>
      <c r="D251">
        <f t="shared" ref="D251:AI251" si="156">AND(year&gt;Current_year+Discount_period_2,year&lt;=Current_year+Discount_period_3)*1</f>
        <v>0</v>
      </c>
      <c r="E251">
        <f t="shared" si="156"/>
        <v>0</v>
      </c>
      <c r="F251">
        <f t="shared" si="156"/>
        <v>0</v>
      </c>
      <c r="G251">
        <f t="shared" si="156"/>
        <v>0</v>
      </c>
      <c r="H251">
        <f t="shared" si="156"/>
        <v>0</v>
      </c>
      <c r="I251">
        <f t="shared" si="156"/>
        <v>0</v>
      </c>
      <c r="J251">
        <f t="shared" si="156"/>
        <v>0</v>
      </c>
      <c r="K251">
        <f t="shared" si="156"/>
        <v>0</v>
      </c>
      <c r="L251">
        <f t="shared" si="156"/>
        <v>0</v>
      </c>
      <c r="M251">
        <f t="shared" si="156"/>
        <v>0</v>
      </c>
      <c r="N251">
        <f t="shared" si="156"/>
        <v>0</v>
      </c>
      <c r="O251">
        <f t="shared" si="156"/>
        <v>0</v>
      </c>
      <c r="P251">
        <f t="shared" si="156"/>
        <v>0</v>
      </c>
      <c r="Q251">
        <f t="shared" si="156"/>
        <v>0</v>
      </c>
      <c r="R251">
        <f t="shared" si="156"/>
        <v>0</v>
      </c>
      <c r="S251">
        <f t="shared" si="156"/>
        <v>0</v>
      </c>
      <c r="T251">
        <f t="shared" si="156"/>
        <v>0</v>
      </c>
      <c r="U251">
        <f t="shared" si="156"/>
        <v>0</v>
      </c>
      <c r="V251">
        <f t="shared" si="156"/>
        <v>0</v>
      </c>
      <c r="W251">
        <f t="shared" si="156"/>
        <v>0</v>
      </c>
      <c r="X251">
        <f t="shared" si="156"/>
        <v>0</v>
      </c>
      <c r="Y251">
        <f t="shared" si="156"/>
        <v>0</v>
      </c>
      <c r="Z251">
        <f t="shared" si="156"/>
        <v>0</v>
      </c>
      <c r="AA251">
        <f t="shared" si="156"/>
        <v>0</v>
      </c>
      <c r="AB251">
        <f t="shared" si="156"/>
        <v>0</v>
      </c>
      <c r="AC251">
        <f t="shared" si="156"/>
        <v>0</v>
      </c>
      <c r="AD251">
        <f t="shared" si="156"/>
        <v>0</v>
      </c>
      <c r="AE251">
        <f t="shared" si="156"/>
        <v>0</v>
      </c>
      <c r="AF251">
        <f t="shared" si="156"/>
        <v>0</v>
      </c>
      <c r="AG251">
        <f t="shared" si="156"/>
        <v>0</v>
      </c>
      <c r="AH251">
        <f t="shared" si="156"/>
        <v>0</v>
      </c>
      <c r="AI251">
        <f t="shared" si="156"/>
        <v>0</v>
      </c>
      <c r="AJ251">
        <f t="shared" ref="AJ251:BO251" si="157">AND(year&gt;Current_year+Discount_period_2,year&lt;=Current_year+Discount_period_3)*1</f>
        <v>0</v>
      </c>
      <c r="AK251">
        <f t="shared" si="157"/>
        <v>0</v>
      </c>
      <c r="AL251">
        <f t="shared" si="157"/>
        <v>0</v>
      </c>
      <c r="AM251">
        <f t="shared" si="157"/>
        <v>0</v>
      </c>
      <c r="AN251">
        <f t="shared" si="157"/>
        <v>0</v>
      </c>
      <c r="AO251">
        <f t="shared" si="157"/>
        <v>0</v>
      </c>
      <c r="AP251">
        <f t="shared" si="157"/>
        <v>0</v>
      </c>
      <c r="AQ251">
        <f t="shared" si="157"/>
        <v>0</v>
      </c>
      <c r="AR251">
        <f t="shared" si="157"/>
        <v>0</v>
      </c>
      <c r="AS251">
        <f t="shared" si="157"/>
        <v>0</v>
      </c>
      <c r="AT251">
        <f t="shared" si="157"/>
        <v>0</v>
      </c>
      <c r="AU251">
        <f t="shared" si="157"/>
        <v>0</v>
      </c>
      <c r="AV251">
        <f t="shared" si="157"/>
        <v>0</v>
      </c>
      <c r="AW251">
        <f t="shared" si="157"/>
        <v>0</v>
      </c>
      <c r="AX251">
        <f t="shared" si="157"/>
        <v>0</v>
      </c>
      <c r="AY251">
        <f t="shared" si="157"/>
        <v>0</v>
      </c>
      <c r="AZ251">
        <f t="shared" si="157"/>
        <v>0</v>
      </c>
      <c r="BA251">
        <f t="shared" si="157"/>
        <v>0</v>
      </c>
      <c r="BB251">
        <f t="shared" si="157"/>
        <v>0</v>
      </c>
      <c r="BC251">
        <f t="shared" si="157"/>
        <v>0</v>
      </c>
      <c r="BD251">
        <f t="shared" si="157"/>
        <v>0</v>
      </c>
      <c r="BE251">
        <f t="shared" si="157"/>
        <v>0</v>
      </c>
      <c r="BF251">
        <f t="shared" si="157"/>
        <v>0</v>
      </c>
      <c r="BG251">
        <f t="shared" si="157"/>
        <v>0</v>
      </c>
      <c r="BH251">
        <f t="shared" si="157"/>
        <v>0</v>
      </c>
      <c r="BI251">
        <f t="shared" si="157"/>
        <v>0</v>
      </c>
      <c r="BJ251">
        <f t="shared" si="157"/>
        <v>0</v>
      </c>
      <c r="BK251">
        <f t="shared" si="157"/>
        <v>0</v>
      </c>
      <c r="BL251">
        <f t="shared" si="157"/>
        <v>0</v>
      </c>
      <c r="BM251">
        <f t="shared" si="157"/>
        <v>0</v>
      </c>
      <c r="BN251">
        <f t="shared" si="157"/>
        <v>0</v>
      </c>
      <c r="BO251">
        <f t="shared" si="157"/>
        <v>0</v>
      </c>
      <c r="BP251">
        <f t="shared" ref="BP251:CP251" si="158">AND(year&gt;Current_year+Discount_period_2,year&lt;=Current_year+Discount_period_3)*1</f>
        <v>0</v>
      </c>
      <c r="BQ251">
        <f t="shared" si="158"/>
        <v>0</v>
      </c>
      <c r="BR251">
        <f t="shared" si="158"/>
        <v>0</v>
      </c>
      <c r="BS251">
        <f t="shared" si="158"/>
        <v>0</v>
      </c>
      <c r="BT251">
        <f t="shared" si="158"/>
        <v>0</v>
      </c>
      <c r="BU251">
        <f t="shared" si="158"/>
        <v>0</v>
      </c>
      <c r="BV251">
        <f t="shared" si="158"/>
        <v>0</v>
      </c>
      <c r="BW251">
        <f t="shared" si="158"/>
        <v>0</v>
      </c>
      <c r="BX251">
        <f t="shared" si="158"/>
        <v>0</v>
      </c>
      <c r="BY251">
        <f t="shared" si="158"/>
        <v>0</v>
      </c>
      <c r="BZ251">
        <f t="shared" si="158"/>
        <v>0</v>
      </c>
      <c r="CA251">
        <f t="shared" si="158"/>
        <v>0</v>
      </c>
      <c r="CB251">
        <f t="shared" si="158"/>
        <v>0</v>
      </c>
      <c r="CC251">
        <f t="shared" si="158"/>
        <v>0</v>
      </c>
      <c r="CD251">
        <f t="shared" si="158"/>
        <v>0</v>
      </c>
      <c r="CE251">
        <f t="shared" si="158"/>
        <v>0</v>
      </c>
      <c r="CF251">
        <f t="shared" si="158"/>
        <v>0</v>
      </c>
      <c r="CG251">
        <f t="shared" si="158"/>
        <v>0</v>
      </c>
      <c r="CH251">
        <f t="shared" si="158"/>
        <v>0</v>
      </c>
      <c r="CI251">
        <f t="shared" si="158"/>
        <v>1</v>
      </c>
      <c r="CJ251">
        <f t="shared" si="158"/>
        <v>1</v>
      </c>
      <c r="CK251">
        <f t="shared" si="158"/>
        <v>1</v>
      </c>
      <c r="CL251">
        <f t="shared" si="158"/>
        <v>1</v>
      </c>
      <c r="CM251">
        <f t="shared" si="158"/>
        <v>1</v>
      </c>
      <c r="CN251">
        <f t="shared" si="158"/>
        <v>1</v>
      </c>
      <c r="CO251">
        <f t="shared" si="158"/>
        <v>1</v>
      </c>
      <c r="CP251">
        <f t="shared" si="158"/>
        <v>1</v>
      </c>
      <c r="CQ251" s="52" t="s">
        <v>63</v>
      </c>
    </row>
    <row r="252" spans="1:95" hidden="1" outlineLevel="1" x14ac:dyDescent="0.25"/>
    <row r="253" spans="1:95" ht="15.75" hidden="1" outlineLevel="1" x14ac:dyDescent="0.25">
      <c r="A253" s="56"/>
      <c r="B253" s="56" t="s">
        <v>64</v>
      </c>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row>
    <row r="254" spans="1:95" ht="15.75" hidden="1" outlineLevel="1" x14ac:dyDescent="0.2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row>
    <row r="255" spans="1:95" hidden="1" outlineLevel="1" x14ac:dyDescent="0.25">
      <c r="B255" t="s">
        <v>20</v>
      </c>
      <c r="C255" s="61">
        <f>Discount_rate_1_in</f>
        <v>3.5000000000000003E-2</v>
      </c>
      <c r="D255" s="62" t="s">
        <v>56</v>
      </c>
    </row>
    <row r="256" spans="1:95" hidden="1" outlineLevel="1" x14ac:dyDescent="0.25">
      <c r="B256" t="s">
        <v>21</v>
      </c>
      <c r="C256" s="61">
        <f>Discount_rate_2_in</f>
        <v>0.03</v>
      </c>
      <c r="D256" s="62" t="s">
        <v>57</v>
      </c>
    </row>
    <row r="257" spans="1:95" hidden="1" outlineLevel="1" x14ac:dyDescent="0.25">
      <c r="B257" t="s">
        <v>22</v>
      </c>
      <c r="C257" s="61">
        <f>Discount_rate_3_in</f>
        <v>2.5000000000000001E-2</v>
      </c>
      <c r="D257" s="62" t="s">
        <v>58</v>
      </c>
    </row>
    <row r="258" spans="1:95" hidden="1" outlineLevel="1" x14ac:dyDescent="0.25"/>
    <row r="259" spans="1:95" hidden="1" outlineLevel="1" x14ac:dyDescent="0.25">
      <c r="B259" t="s">
        <v>65</v>
      </c>
      <c r="D259" s="66">
        <f>Discount_period_1_mask*Discount_rate_1+Discount_period_2_mask*Discount_rate_2+Discount_period_3_mask*Discount_rate_3</f>
        <v>0</v>
      </c>
      <c r="E259" s="66">
        <f t="shared" ref="E259:BO259" si="159">Discount_period_1_mask*Discount_rate_1+Discount_period_2_mask*Discount_rate_2+Discount_period_3_mask*Discount_rate_3</f>
        <v>3.5000000000000003E-2</v>
      </c>
      <c r="F259" s="66">
        <f t="shared" si="159"/>
        <v>3.5000000000000003E-2</v>
      </c>
      <c r="G259" s="66">
        <f t="shared" si="159"/>
        <v>3.5000000000000003E-2</v>
      </c>
      <c r="H259" s="66">
        <f t="shared" si="159"/>
        <v>3.5000000000000003E-2</v>
      </c>
      <c r="I259" s="66">
        <f t="shared" si="159"/>
        <v>3.5000000000000003E-2</v>
      </c>
      <c r="J259" s="66">
        <f t="shared" si="159"/>
        <v>3.5000000000000003E-2</v>
      </c>
      <c r="K259" s="66">
        <f t="shared" si="159"/>
        <v>3.5000000000000003E-2</v>
      </c>
      <c r="L259" s="66">
        <f t="shared" si="159"/>
        <v>3.5000000000000003E-2</v>
      </c>
      <c r="M259" s="66">
        <f t="shared" si="159"/>
        <v>3.5000000000000003E-2</v>
      </c>
      <c r="N259" s="66">
        <f t="shared" si="159"/>
        <v>3.5000000000000003E-2</v>
      </c>
      <c r="O259" s="66">
        <f t="shared" si="159"/>
        <v>3.5000000000000003E-2</v>
      </c>
      <c r="P259" s="66">
        <f t="shared" si="159"/>
        <v>3.5000000000000003E-2</v>
      </c>
      <c r="Q259" s="66">
        <f t="shared" si="159"/>
        <v>3.5000000000000003E-2</v>
      </c>
      <c r="R259" s="66">
        <f t="shared" si="159"/>
        <v>3.5000000000000003E-2</v>
      </c>
      <c r="S259" s="66">
        <f t="shared" si="159"/>
        <v>3.5000000000000003E-2</v>
      </c>
      <c r="T259" s="66">
        <f t="shared" si="159"/>
        <v>3.5000000000000003E-2</v>
      </c>
      <c r="U259" s="66">
        <f t="shared" si="159"/>
        <v>3.5000000000000003E-2</v>
      </c>
      <c r="V259" s="66">
        <f t="shared" si="159"/>
        <v>3.5000000000000003E-2</v>
      </c>
      <c r="W259" s="66">
        <f t="shared" si="159"/>
        <v>3.5000000000000003E-2</v>
      </c>
      <c r="X259" s="66">
        <f t="shared" si="159"/>
        <v>3.5000000000000003E-2</v>
      </c>
      <c r="Y259" s="66">
        <f t="shared" si="159"/>
        <v>3.5000000000000003E-2</v>
      </c>
      <c r="Z259" s="66">
        <f t="shared" si="159"/>
        <v>3.5000000000000003E-2</v>
      </c>
      <c r="AA259" s="66">
        <f t="shared" si="159"/>
        <v>3.5000000000000003E-2</v>
      </c>
      <c r="AB259" s="66">
        <f t="shared" si="159"/>
        <v>3.5000000000000003E-2</v>
      </c>
      <c r="AC259" s="66">
        <f t="shared" si="159"/>
        <v>3.5000000000000003E-2</v>
      </c>
      <c r="AD259" s="66">
        <f t="shared" si="159"/>
        <v>3.5000000000000003E-2</v>
      </c>
      <c r="AE259" s="66">
        <f t="shared" si="159"/>
        <v>3.5000000000000003E-2</v>
      </c>
      <c r="AF259" s="66">
        <f t="shared" si="159"/>
        <v>3.5000000000000003E-2</v>
      </c>
      <c r="AG259" s="66">
        <f t="shared" si="159"/>
        <v>3.5000000000000003E-2</v>
      </c>
      <c r="AH259" s="66">
        <f t="shared" si="159"/>
        <v>3.5000000000000003E-2</v>
      </c>
      <c r="AI259" s="66">
        <f t="shared" si="159"/>
        <v>3.5000000000000003E-2</v>
      </c>
      <c r="AJ259" s="66">
        <f t="shared" si="159"/>
        <v>3.5000000000000003E-2</v>
      </c>
      <c r="AK259" s="66">
        <f t="shared" si="159"/>
        <v>3.5000000000000003E-2</v>
      </c>
      <c r="AL259" s="66">
        <f t="shared" si="159"/>
        <v>3.5000000000000003E-2</v>
      </c>
      <c r="AM259" s="66">
        <f t="shared" si="159"/>
        <v>3.5000000000000003E-2</v>
      </c>
      <c r="AN259" s="66">
        <f t="shared" si="159"/>
        <v>3.5000000000000003E-2</v>
      </c>
      <c r="AO259" s="66">
        <f t="shared" si="159"/>
        <v>3.5000000000000003E-2</v>
      </c>
      <c r="AP259" s="66">
        <f t="shared" si="159"/>
        <v>0.03</v>
      </c>
      <c r="AQ259" s="66">
        <f t="shared" si="159"/>
        <v>0.03</v>
      </c>
      <c r="AR259" s="66">
        <f t="shared" si="159"/>
        <v>0.03</v>
      </c>
      <c r="AS259" s="66">
        <f t="shared" si="159"/>
        <v>0.03</v>
      </c>
      <c r="AT259" s="66">
        <f t="shared" si="159"/>
        <v>0.03</v>
      </c>
      <c r="AU259" s="66">
        <f t="shared" si="159"/>
        <v>0.03</v>
      </c>
      <c r="AV259" s="66">
        <f t="shared" si="159"/>
        <v>0.03</v>
      </c>
      <c r="AW259" s="66">
        <f t="shared" si="159"/>
        <v>0.03</v>
      </c>
      <c r="AX259" s="66">
        <f t="shared" si="159"/>
        <v>0.03</v>
      </c>
      <c r="AY259" s="66">
        <f t="shared" si="159"/>
        <v>0.03</v>
      </c>
      <c r="AZ259" s="66">
        <f t="shared" si="159"/>
        <v>0.03</v>
      </c>
      <c r="BA259" s="66">
        <f t="shared" si="159"/>
        <v>0.03</v>
      </c>
      <c r="BB259" s="66">
        <f t="shared" si="159"/>
        <v>0.03</v>
      </c>
      <c r="BC259" s="66">
        <f t="shared" si="159"/>
        <v>0.03</v>
      </c>
      <c r="BD259" s="66">
        <f t="shared" si="159"/>
        <v>0.03</v>
      </c>
      <c r="BE259" s="66">
        <f t="shared" si="159"/>
        <v>0.03</v>
      </c>
      <c r="BF259" s="66">
        <f t="shared" si="159"/>
        <v>0.03</v>
      </c>
      <c r="BG259" s="66">
        <f t="shared" si="159"/>
        <v>0.03</v>
      </c>
      <c r="BH259" s="66">
        <f t="shared" si="159"/>
        <v>0.03</v>
      </c>
      <c r="BI259" s="66">
        <f t="shared" si="159"/>
        <v>0.03</v>
      </c>
      <c r="BJ259" s="66">
        <f t="shared" si="159"/>
        <v>0.03</v>
      </c>
      <c r="BK259" s="66">
        <f t="shared" si="159"/>
        <v>0.03</v>
      </c>
      <c r="BL259" s="66">
        <f t="shared" si="159"/>
        <v>0.03</v>
      </c>
      <c r="BM259" s="66">
        <f t="shared" si="159"/>
        <v>0.03</v>
      </c>
      <c r="BN259" s="66">
        <f t="shared" si="159"/>
        <v>0.03</v>
      </c>
      <c r="BO259" s="66">
        <f t="shared" si="159"/>
        <v>0.03</v>
      </c>
      <c r="BP259" s="66">
        <f t="shared" ref="BP259:CP259" si="160">Discount_period_1_mask*Discount_rate_1+Discount_period_2_mask*Discount_rate_2+Discount_period_3_mask*Discount_rate_3</f>
        <v>0.03</v>
      </c>
      <c r="BQ259" s="66">
        <f t="shared" si="160"/>
        <v>0.03</v>
      </c>
      <c r="BR259" s="66">
        <f t="shared" si="160"/>
        <v>0.03</v>
      </c>
      <c r="BS259" s="66">
        <f t="shared" si="160"/>
        <v>0.03</v>
      </c>
      <c r="BT259" s="66">
        <f t="shared" si="160"/>
        <v>0.03</v>
      </c>
      <c r="BU259" s="66">
        <f t="shared" si="160"/>
        <v>0.03</v>
      </c>
      <c r="BV259" s="66">
        <f t="shared" si="160"/>
        <v>0.03</v>
      </c>
      <c r="BW259" s="66">
        <f t="shared" si="160"/>
        <v>0.03</v>
      </c>
      <c r="BX259" s="66">
        <f t="shared" si="160"/>
        <v>0.03</v>
      </c>
      <c r="BY259" s="66">
        <f t="shared" si="160"/>
        <v>0.03</v>
      </c>
      <c r="BZ259" s="66">
        <f t="shared" si="160"/>
        <v>0.03</v>
      </c>
      <c r="CA259" s="66">
        <f t="shared" si="160"/>
        <v>0.03</v>
      </c>
      <c r="CB259" s="66">
        <f t="shared" si="160"/>
        <v>0.03</v>
      </c>
      <c r="CC259" s="66">
        <f t="shared" si="160"/>
        <v>0.03</v>
      </c>
      <c r="CD259" s="66">
        <f t="shared" si="160"/>
        <v>0.03</v>
      </c>
      <c r="CE259" s="66">
        <f t="shared" si="160"/>
        <v>0.03</v>
      </c>
      <c r="CF259" s="66">
        <f t="shared" si="160"/>
        <v>0.03</v>
      </c>
      <c r="CG259" s="66">
        <f t="shared" si="160"/>
        <v>0.03</v>
      </c>
      <c r="CH259" s="66">
        <f t="shared" si="160"/>
        <v>0.03</v>
      </c>
      <c r="CI259" s="66">
        <f t="shared" si="160"/>
        <v>2.5000000000000001E-2</v>
      </c>
      <c r="CJ259" s="66">
        <f t="shared" si="160"/>
        <v>2.5000000000000001E-2</v>
      </c>
      <c r="CK259" s="66">
        <f t="shared" si="160"/>
        <v>2.5000000000000001E-2</v>
      </c>
      <c r="CL259" s="66">
        <f t="shared" si="160"/>
        <v>2.5000000000000001E-2</v>
      </c>
      <c r="CM259" s="66">
        <f t="shared" si="160"/>
        <v>2.5000000000000001E-2</v>
      </c>
      <c r="CN259" s="66">
        <f t="shared" si="160"/>
        <v>2.5000000000000001E-2</v>
      </c>
      <c r="CO259" s="66">
        <f t="shared" si="160"/>
        <v>2.5000000000000001E-2</v>
      </c>
      <c r="CP259" s="66">
        <f t="shared" si="160"/>
        <v>2.5000000000000001E-2</v>
      </c>
      <c r="CQ259" s="52" t="s">
        <v>67</v>
      </c>
    </row>
    <row r="260" spans="1:95" hidden="1" outlineLevel="1" x14ac:dyDescent="0.25">
      <c r="B260" t="s">
        <v>66</v>
      </c>
      <c r="C260">
        <v>1</v>
      </c>
      <c r="D260" s="53">
        <f>C260*(1+Discount_rate_profile)</f>
        <v>1</v>
      </c>
      <c r="E260" s="53">
        <f t="shared" ref="E260:BP260" si="161">D260*(1+Discount_rate_profile)</f>
        <v>1.0349999999999999</v>
      </c>
      <c r="F260" s="53">
        <f t="shared" si="161"/>
        <v>1.0712249999999999</v>
      </c>
      <c r="G260" s="53">
        <f t="shared" si="161"/>
        <v>1.1087178749999997</v>
      </c>
      <c r="H260" s="53">
        <f t="shared" si="161"/>
        <v>1.1475230006249997</v>
      </c>
      <c r="I260" s="53">
        <f t="shared" si="161"/>
        <v>1.1876863056468745</v>
      </c>
      <c r="J260" s="53">
        <f t="shared" si="161"/>
        <v>1.229255326344515</v>
      </c>
      <c r="K260" s="53">
        <f t="shared" si="161"/>
        <v>1.2722792627665729</v>
      </c>
      <c r="L260" s="53">
        <f t="shared" si="161"/>
        <v>1.3168090369634029</v>
      </c>
      <c r="M260" s="53">
        <f t="shared" si="161"/>
        <v>1.3628973532571218</v>
      </c>
      <c r="N260" s="53">
        <f t="shared" si="161"/>
        <v>1.410598760621121</v>
      </c>
      <c r="O260" s="53">
        <f t="shared" si="161"/>
        <v>1.4599697172428601</v>
      </c>
      <c r="P260" s="53">
        <f t="shared" si="161"/>
        <v>1.5110686573463601</v>
      </c>
      <c r="Q260" s="53">
        <f t="shared" si="161"/>
        <v>1.5639560603534826</v>
      </c>
      <c r="R260" s="53">
        <f t="shared" si="161"/>
        <v>1.6186945224658542</v>
      </c>
      <c r="S260" s="53">
        <f t="shared" si="161"/>
        <v>1.6753488307521589</v>
      </c>
      <c r="T260" s="53">
        <f t="shared" si="161"/>
        <v>1.7339860398284843</v>
      </c>
      <c r="U260" s="53">
        <f t="shared" si="161"/>
        <v>1.7946755512224812</v>
      </c>
      <c r="V260" s="53">
        <f t="shared" si="161"/>
        <v>1.8574891955152679</v>
      </c>
      <c r="W260" s="53">
        <f t="shared" si="161"/>
        <v>1.9225013173583021</v>
      </c>
      <c r="X260" s="53">
        <f t="shared" si="161"/>
        <v>1.9897888634658425</v>
      </c>
      <c r="Y260" s="53">
        <f t="shared" si="161"/>
        <v>2.0594314736871469</v>
      </c>
      <c r="Z260" s="53">
        <f t="shared" si="161"/>
        <v>2.1315115752661966</v>
      </c>
      <c r="AA260" s="53">
        <f t="shared" si="161"/>
        <v>2.2061144804005135</v>
      </c>
      <c r="AB260" s="53">
        <f t="shared" si="161"/>
        <v>2.2833284872145314</v>
      </c>
      <c r="AC260" s="53">
        <f t="shared" si="161"/>
        <v>2.3632449842670398</v>
      </c>
      <c r="AD260" s="53">
        <f t="shared" si="161"/>
        <v>2.4459585587163861</v>
      </c>
      <c r="AE260" s="53">
        <f t="shared" si="161"/>
        <v>2.5315671082714593</v>
      </c>
      <c r="AF260" s="53">
        <f t="shared" si="161"/>
        <v>2.6201719570609603</v>
      </c>
      <c r="AG260" s="53">
        <f t="shared" si="161"/>
        <v>2.7118779755580937</v>
      </c>
      <c r="AH260" s="53">
        <f t="shared" si="161"/>
        <v>2.8067937047026268</v>
      </c>
      <c r="AI260" s="53">
        <f t="shared" si="161"/>
        <v>2.9050314843672185</v>
      </c>
      <c r="AJ260" s="53">
        <f t="shared" si="161"/>
        <v>3.0067075863200707</v>
      </c>
      <c r="AK260" s="53">
        <f t="shared" si="161"/>
        <v>3.111942351841273</v>
      </c>
      <c r="AL260" s="53">
        <f t="shared" si="161"/>
        <v>3.2208603341557174</v>
      </c>
      <c r="AM260" s="53">
        <f t="shared" si="161"/>
        <v>3.3335904458511671</v>
      </c>
      <c r="AN260" s="53">
        <f t="shared" si="161"/>
        <v>3.4502661114559579</v>
      </c>
      <c r="AO260" s="53">
        <f t="shared" si="161"/>
        <v>3.571025425356916</v>
      </c>
      <c r="AP260" s="53">
        <f t="shared" si="161"/>
        <v>3.6781561881176237</v>
      </c>
      <c r="AQ260" s="53">
        <f t="shared" si="161"/>
        <v>3.7885008737611523</v>
      </c>
      <c r="AR260" s="53">
        <f t="shared" si="161"/>
        <v>3.9021558999739869</v>
      </c>
      <c r="AS260" s="53">
        <f t="shared" si="161"/>
        <v>4.0192205769732068</v>
      </c>
      <c r="AT260" s="53">
        <f t="shared" si="161"/>
        <v>4.1397971942824032</v>
      </c>
      <c r="AU260" s="53">
        <f t="shared" si="161"/>
        <v>4.2639911101108758</v>
      </c>
      <c r="AV260" s="53">
        <f t="shared" si="161"/>
        <v>4.3919108434142018</v>
      </c>
      <c r="AW260" s="53">
        <f t="shared" si="161"/>
        <v>4.523668168716628</v>
      </c>
      <c r="AX260" s="53">
        <f t="shared" si="161"/>
        <v>4.659378213778127</v>
      </c>
      <c r="AY260" s="53">
        <f t="shared" si="161"/>
        <v>4.7991595601914705</v>
      </c>
      <c r="AZ260" s="53">
        <f t="shared" si="161"/>
        <v>4.9431343469972147</v>
      </c>
      <c r="BA260" s="53">
        <f t="shared" si="161"/>
        <v>5.0914283774071309</v>
      </c>
      <c r="BB260" s="53">
        <f t="shared" si="161"/>
        <v>5.2441712287293454</v>
      </c>
      <c r="BC260" s="53">
        <f t="shared" si="161"/>
        <v>5.4014963655912256</v>
      </c>
      <c r="BD260" s="53">
        <f t="shared" si="161"/>
        <v>5.5635412565589624</v>
      </c>
      <c r="BE260" s="53">
        <f t="shared" si="161"/>
        <v>5.7304474942557313</v>
      </c>
      <c r="BF260" s="53">
        <f t="shared" si="161"/>
        <v>5.902360919083403</v>
      </c>
      <c r="BG260" s="53">
        <f t="shared" si="161"/>
        <v>6.0794317466559056</v>
      </c>
      <c r="BH260" s="53">
        <f t="shared" si="161"/>
        <v>6.2618146990555825</v>
      </c>
      <c r="BI260" s="53">
        <f t="shared" si="161"/>
        <v>6.4496691400272503</v>
      </c>
      <c r="BJ260" s="53">
        <f t="shared" si="161"/>
        <v>6.643159214228068</v>
      </c>
      <c r="BK260" s="53">
        <f t="shared" si="161"/>
        <v>6.84245399065491</v>
      </c>
      <c r="BL260" s="53">
        <f t="shared" si="161"/>
        <v>7.0477276103745572</v>
      </c>
      <c r="BM260" s="53">
        <f t="shared" si="161"/>
        <v>7.2591594386857938</v>
      </c>
      <c r="BN260" s="53">
        <f t="shared" si="161"/>
        <v>7.4769342218463679</v>
      </c>
      <c r="BO260" s="53">
        <f t="shared" si="161"/>
        <v>7.7012422485017593</v>
      </c>
      <c r="BP260" s="53">
        <f t="shared" si="161"/>
        <v>7.9322795159568127</v>
      </c>
      <c r="BQ260" s="53">
        <f t="shared" ref="BQ260:CP260" si="162">BP260*(1+Discount_rate_profile)</f>
        <v>8.170247901435518</v>
      </c>
      <c r="BR260" s="53">
        <f t="shared" si="162"/>
        <v>8.4153553384785837</v>
      </c>
      <c r="BS260" s="53">
        <f t="shared" si="162"/>
        <v>8.6678159986329408</v>
      </c>
      <c r="BT260" s="53">
        <f t="shared" si="162"/>
        <v>8.9278504785919299</v>
      </c>
      <c r="BU260" s="53">
        <f t="shared" si="162"/>
        <v>9.1956859929496879</v>
      </c>
      <c r="BV260" s="53">
        <f t="shared" si="162"/>
        <v>9.4715565727381783</v>
      </c>
      <c r="BW260" s="53">
        <f t="shared" si="162"/>
        <v>9.7557032699203248</v>
      </c>
      <c r="BX260" s="53">
        <f t="shared" si="162"/>
        <v>10.048374368017935</v>
      </c>
      <c r="BY260" s="53">
        <f t="shared" si="162"/>
        <v>10.349825599058473</v>
      </c>
      <c r="BZ260" s="53">
        <f t="shared" si="162"/>
        <v>10.660320367030227</v>
      </c>
      <c r="CA260" s="53">
        <f t="shared" si="162"/>
        <v>10.980129978041134</v>
      </c>
      <c r="CB260" s="53">
        <f t="shared" si="162"/>
        <v>11.309533877382368</v>
      </c>
      <c r="CC260" s="53">
        <f t="shared" si="162"/>
        <v>11.648819893703839</v>
      </c>
      <c r="CD260" s="53">
        <f t="shared" si="162"/>
        <v>11.998284490514955</v>
      </c>
      <c r="CE260" s="53">
        <f t="shared" si="162"/>
        <v>12.358233025230405</v>
      </c>
      <c r="CF260" s="53">
        <f t="shared" si="162"/>
        <v>12.728980015987316</v>
      </c>
      <c r="CG260" s="53">
        <f t="shared" si="162"/>
        <v>13.110849416466936</v>
      </c>
      <c r="CH260" s="53">
        <f t="shared" si="162"/>
        <v>13.504174898960944</v>
      </c>
      <c r="CI260" s="53">
        <f t="shared" si="162"/>
        <v>13.841779271434966</v>
      </c>
      <c r="CJ260" s="53">
        <f t="shared" si="162"/>
        <v>14.187823753220838</v>
      </c>
      <c r="CK260" s="53">
        <f t="shared" si="162"/>
        <v>14.542519347051359</v>
      </c>
      <c r="CL260" s="53">
        <f t="shared" si="162"/>
        <v>14.906082330727642</v>
      </c>
      <c r="CM260" s="53">
        <f t="shared" si="162"/>
        <v>15.278734388995831</v>
      </c>
      <c r="CN260" s="53">
        <f t="shared" si="162"/>
        <v>15.660702748720725</v>
      </c>
      <c r="CO260" s="53">
        <f t="shared" si="162"/>
        <v>16.052220317438742</v>
      </c>
      <c r="CP260" s="53">
        <f t="shared" si="162"/>
        <v>16.453525825374708</v>
      </c>
      <c r="CQ260" s="52" t="s">
        <v>68</v>
      </c>
    </row>
    <row r="261" spans="1:95" hidden="1" outlineLevel="1" x14ac:dyDescent="0.25"/>
    <row r="262" spans="1:95" ht="47.25" hidden="1" outlineLevel="1" x14ac:dyDescent="0.25">
      <c r="A262" s="56"/>
      <c r="B262" s="110" t="s">
        <v>167</v>
      </c>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row>
    <row r="263" spans="1:95" hidden="1" outlineLevel="1" x14ac:dyDescent="0.25">
      <c r="B263" s="52" t="s">
        <v>252</v>
      </c>
    </row>
    <row r="264" spans="1:95" hidden="1" outlineLevel="1" x14ac:dyDescent="0.25">
      <c r="B264" t="s">
        <v>72</v>
      </c>
      <c r="D264" s="67">
        <f t="shared" ref="D264:BO264" si="163">NOx_benefits_not_in_exceedance_low/Discount_factor</f>
        <v>0</v>
      </c>
      <c r="E264" s="67">
        <f t="shared" si="163"/>
        <v>0</v>
      </c>
      <c r="F264" s="67">
        <f t="shared" si="163"/>
        <v>0</v>
      </c>
      <c r="G264" s="67">
        <f t="shared" si="163"/>
        <v>0</v>
      </c>
      <c r="H264" s="67">
        <f t="shared" si="163"/>
        <v>0</v>
      </c>
      <c r="I264" s="67">
        <f t="shared" si="163"/>
        <v>0</v>
      </c>
      <c r="J264" s="67">
        <f t="shared" si="163"/>
        <v>0</v>
      </c>
      <c r="K264" s="67">
        <f t="shared" si="163"/>
        <v>0</v>
      </c>
      <c r="L264" s="67">
        <f t="shared" si="163"/>
        <v>0</v>
      </c>
      <c r="M264" s="67">
        <f t="shared" si="163"/>
        <v>0</v>
      </c>
      <c r="N264" s="67">
        <f t="shared" si="163"/>
        <v>0</v>
      </c>
      <c r="O264" s="67">
        <f t="shared" si="163"/>
        <v>0</v>
      </c>
      <c r="P264" s="67">
        <f t="shared" si="163"/>
        <v>0</v>
      </c>
      <c r="Q264" s="67">
        <f t="shared" si="163"/>
        <v>0</v>
      </c>
      <c r="R264" s="67">
        <f t="shared" si="163"/>
        <v>0</v>
      </c>
      <c r="S264" s="67">
        <f t="shared" si="163"/>
        <v>0</v>
      </c>
      <c r="T264" s="67">
        <f t="shared" si="163"/>
        <v>-293.64014394371594</v>
      </c>
      <c r="U264" s="67">
        <f t="shared" si="163"/>
        <v>-344.54245847664572</v>
      </c>
      <c r="V264" s="67">
        <f t="shared" si="163"/>
        <v>-393.91154273906676</v>
      </c>
      <c r="W264" s="67">
        <f t="shared" si="163"/>
        <v>-441.80749558873197</v>
      </c>
      <c r="X264" s="67">
        <f t="shared" si="163"/>
        <v>-488.28640053909305</v>
      </c>
      <c r="Y264" s="67">
        <f t="shared" si="163"/>
        <v>-533.40092611777015</v>
      </c>
      <c r="Z264" s="67">
        <f t="shared" si="163"/>
        <v>-577.19935452813866</v>
      </c>
      <c r="AA264" s="67">
        <f t="shared" si="163"/>
        <v>-619.72506539681922</v>
      </c>
      <c r="AB264" s="67">
        <f t="shared" si="163"/>
        <v>-661.66020670060516</v>
      </c>
      <c r="AC264" s="67">
        <f t="shared" si="163"/>
        <v>-701.78699111364085</v>
      </c>
      <c r="AD264" s="67">
        <f t="shared" si="163"/>
        <v>-740.7390347613599</v>
      </c>
      <c r="AE264" s="67">
        <f t="shared" si="163"/>
        <v>-730.56722454563646</v>
      </c>
      <c r="AF264" s="67">
        <f t="shared" si="163"/>
        <v>-720.63132294011803</v>
      </c>
      <c r="AG264" s="67">
        <f t="shared" si="163"/>
        <v>-710.83055214446563</v>
      </c>
      <c r="AH264" s="67">
        <f t="shared" si="163"/>
        <v>-701.16307434501164</v>
      </c>
      <c r="AI264" s="67">
        <f t="shared" si="163"/>
        <v>-691.62707672282465</v>
      </c>
      <c r="AJ264" s="67">
        <f t="shared" si="163"/>
        <v>-682.34395018571524</v>
      </c>
      <c r="AK264" s="67">
        <f t="shared" si="163"/>
        <v>-673.18542322141639</v>
      </c>
      <c r="AL264" s="67">
        <f t="shared" si="163"/>
        <v>-664.14982343502118</v>
      </c>
      <c r="AM264" s="67">
        <f t="shared" si="163"/>
        <v>-655.2355008787672</v>
      </c>
      <c r="AN264" s="67">
        <f t="shared" si="163"/>
        <v>-647.07150172904267</v>
      </c>
      <c r="AO264" s="67">
        <f t="shared" si="163"/>
        <v>-638.55473128683786</v>
      </c>
      <c r="AP264" s="67">
        <f t="shared" si="163"/>
        <v>-633.20903964691161</v>
      </c>
      <c r="AQ264" s="67">
        <f t="shared" si="163"/>
        <v>-627.90809972161389</v>
      </c>
      <c r="AR264" s="67">
        <f t="shared" si="163"/>
        <v>-622.65153686981341</v>
      </c>
      <c r="AS264" s="67">
        <f t="shared" si="163"/>
        <v>-616.83660009442565</v>
      </c>
      <c r="AT264" s="67">
        <f t="shared" si="163"/>
        <v>-611.27004907546075</v>
      </c>
      <c r="AU264" s="67">
        <f t="shared" si="163"/>
        <v>-605.75373257604622</v>
      </c>
      <c r="AV264" s="67">
        <f t="shared" si="163"/>
        <v>-600.28719726216127</v>
      </c>
      <c r="AW264" s="67">
        <f t="shared" si="163"/>
        <v>-594.86999389083144</v>
      </c>
      <c r="AX264" s="67">
        <f t="shared" si="163"/>
        <v>-589.501677273209</v>
      </c>
      <c r="AY264" s="67">
        <f t="shared" si="163"/>
        <v>-584.31905093037403</v>
      </c>
      <c r="AZ264" s="67">
        <f t="shared" si="163"/>
        <v>-579.74759525350066</v>
      </c>
      <c r="BA264" s="67">
        <f t="shared" si="163"/>
        <v>-575.21190463849257</v>
      </c>
      <c r="BB264" s="67">
        <f t="shared" si="163"/>
        <v>-571.26849117694235</v>
      </c>
      <c r="BC264" s="67">
        <f t="shared" si="163"/>
        <v>-567.352112117155</v>
      </c>
      <c r="BD264" s="67">
        <f t="shared" si="163"/>
        <v>-563.49535744565537</v>
      </c>
      <c r="BE264" s="67">
        <f t="shared" si="163"/>
        <v>-559.6502556941922</v>
      </c>
      <c r="BF264" s="67">
        <f t="shared" si="163"/>
        <v>-555.28964562098349</v>
      </c>
      <c r="BG264" s="67">
        <f t="shared" si="163"/>
        <v>-550.96301198219442</v>
      </c>
      <c r="BH264" s="67">
        <f t="shared" si="163"/>
        <v>-546.67009004466263</v>
      </c>
      <c r="BI264" s="67">
        <f t="shared" si="163"/>
        <v>-542.33821768193911</v>
      </c>
      <c r="BJ264" s="67">
        <f t="shared" si="163"/>
        <v>-538.04067153992639</v>
      </c>
      <c r="BK264" s="67">
        <f t="shared" si="163"/>
        <v>-533.77717961397411</v>
      </c>
      <c r="BL264" s="67">
        <f t="shared" si="163"/>
        <v>-529.54747205482568</v>
      </c>
      <c r="BM264" s="67">
        <f t="shared" si="163"/>
        <v>-525.35128115153884</v>
      </c>
      <c r="BN264" s="67">
        <f t="shared" si="163"/>
        <v>-521.10898856820984</v>
      </c>
      <c r="BO264" s="67">
        <f t="shared" si="163"/>
        <v>-516.9009531514821</v>
      </c>
      <c r="BP264" s="67">
        <f t="shared" ref="BP264:CP264" si="164">NOx_benefits_not_in_exceedance_low/Discount_factor</f>
        <v>-512.72689826945407</v>
      </c>
      <c r="BQ264" s="67">
        <f t="shared" si="164"/>
        <v>-508.58654952406971</v>
      </c>
      <c r="BR264" s="67">
        <f t="shared" si="164"/>
        <v>-504.47963473307971</v>
      </c>
      <c r="BS264" s="67">
        <f t="shared" si="164"/>
        <v>-500.39158913835274</v>
      </c>
      <c r="BT264" s="67">
        <f t="shared" si="164"/>
        <v>-496.33667097956942</v>
      </c>
      <c r="BU264" s="67">
        <f t="shared" si="164"/>
        <v>-492.31461180888937</v>
      </c>
      <c r="BV264" s="67">
        <f t="shared" si="164"/>
        <v>-488.32514535383632</v>
      </c>
      <c r="BW264" s="67">
        <f t="shared" si="164"/>
        <v>-484.36800749967017</v>
      </c>
      <c r="BX264" s="67">
        <f t="shared" si="164"/>
        <v>-480.48351507782701</v>
      </c>
      <c r="BY264" s="67">
        <f t="shared" si="164"/>
        <v>-476.63017517048053</v>
      </c>
      <c r="BZ264" s="67">
        <f t="shared" si="164"/>
        <v>-472.80773794340439</v>
      </c>
      <c r="CA264" s="67">
        <f t="shared" si="164"/>
        <v>-469.01595556597067</v>
      </c>
      <c r="CB264" s="67">
        <f t="shared" si="164"/>
        <v>0</v>
      </c>
      <c r="CC264" s="67">
        <f t="shared" si="164"/>
        <v>0</v>
      </c>
      <c r="CD264" s="67">
        <f t="shared" si="164"/>
        <v>0</v>
      </c>
      <c r="CE264" s="67">
        <f t="shared" si="164"/>
        <v>0</v>
      </c>
      <c r="CF264" s="67">
        <f t="shared" si="164"/>
        <v>0</v>
      </c>
      <c r="CG264" s="67">
        <f t="shared" si="164"/>
        <v>0</v>
      </c>
      <c r="CH264" s="67">
        <f t="shared" si="164"/>
        <v>0</v>
      </c>
      <c r="CI264" s="67">
        <f t="shared" si="164"/>
        <v>0</v>
      </c>
      <c r="CJ264" s="67">
        <f t="shared" si="164"/>
        <v>0</v>
      </c>
      <c r="CK264" s="67">
        <f t="shared" si="164"/>
        <v>0</v>
      </c>
      <c r="CL264" s="67">
        <f t="shared" si="164"/>
        <v>0</v>
      </c>
      <c r="CM264" s="67">
        <f t="shared" si="164"/>
        <v>0</v>
      </c>
      <c r="CN264" s="67">
        <f t="shared" si="164"/>
        <v>0</v>
      </c>
      <c r="CO264" s="67">
        <f t="shared" si="164"/>
        <v>0</v>
      </c>
      <c r="CP264" s="67">
        <f t="shared" si="164"/>
        <v>0</v>
      </c>
      <c r="CQ264" s="52" t="s">
        <v>177</v>
      </c>
    </row>
    <row r="265" spans="1:95" hidden="1" outlineLevel="1" x14ac:dyDescent="0.25">
      <c r="B265" t="s">
        <v>73</v>
      </c>
      <c r="D265" s="67">
        <f t="shared" ref="D265:BO265" si="165">NOx_benefits_not_in_exceedance_central/Discount_factor</f>
        <v>0</v>
      </c>
      <c r="E265" s="67">
        <f t="shared" si="165"/>
        <v>0</v>
      </c>
      <c r="F265" s="67">
        <f t="shared" si="165"/>
        <v>0</v>
      </c>
      <c r="G265" s="67">
        <f t="shared" si="165"/>
        <v>0</v>
      </c>
      <c r="H265" s="67">
        <f t="shared" si="165"/>
        <v>0</v>
      </c>
      <c r="I265" s="67">
        <f t="shared" si="165"/>
        <v>0</v>
      </c>
      <c r="J265" s="67">
        <f t="shared" si="165"/>
        <v>0</v>
      </c>
      <c r="K265" s="67">
        <f t="shared" si="165"/>
        <v>0</v>
      </c>
      <c r="L265" s="67">
        <f t="shared" si="165"/>
        <v>0</v>
      </c>
      <c r="M265" s="67">
        <f t="shared" si="165"/>
        <v>0</v>
      </c>
      <c r="N265" s="67">
        <f t="shared" si="165"/>
        <v>0</v>
      </c>
      <c r="O265" s="67">
        <f t="shared" si="165"/>
        <v>0</v>
      </c>
      <c r="P265" s="67">
        <f t="shared" si="165"/>
        <v>0</v>
      </c>
      <c r="Q265" s="67">
        <f t="shared" si="165"/>
        <v>0</v>
      </c>
      <c r="R265" s="67">
        <f t="shared" si="165"/>
        <v>0</v>
      </c>
      <c r="S265" s="67">
        <f t="shared" si="165"/>
        <v>0</v>
      </c>
      <c r="T265" s="67">
        <f t="shared" si="165"/>
        <v>-376.91712025033428</v>
      </c>
      <c r="U265" s="67">
        <f t="shared" si="165"/>
        <v>-442.25544065214604</v>
      </c>
      <c r="V265" s="67">
        <f t="shared" si="165"/>
        <v>-505.62570338146332</v>
      </c>
      <c r="W265" s="67">
        <f t="shared" si="165"/>
        <v>-567.10505146134267</v>
      </c>
      <c r="X265" s="67">
        <f t="shared" si="165"/>
        <v>-626.76547381026046</v>
      </c>
      <c r="Y265" s="67">
        <f t="shared" si="165"/>
        <v>-684.67457586353567</v>
      </c>
      <c r="Z265" s="67">
        <f t="shared" si="165"/>
        <v>-740.89433276125317</v>
      </c>
      <c r="AA265" s="67">
        <f t="shared" si="165"/>
        <v>-795.48042668543326</v>
      </c>
      <c r="AB265" s="67">
        <f t="shared" si="165"/>
        <v>-849.30846424607239</v>
      </c>
      <c r="AC265" s="67">
        <f t="shared" si="165"/>
        <v>-900.81529101280512</v>
      </c>
      <c r="AD265" s="67">
        <f t="shared" si="165"/>
        <v>-950.81421800685303</v>
      </c>
      <c r="AE265" s="67">
        <f t="shared" si="165"/>
        <v>-937.75766053909001</v>
      </c>
      <c r="AF265" s="67">
        <f t="shared" si="165"/>
        <v>-925.0039158707159</v>
      </c>
      <c r="AG265" s="67">
        <f t="shared" si="165"/>
        <v>-912.42362540049021</v>
      </c>
      <c r="AH265" s="67">
        <f t="shared" si="165"/>
        <v>-900.01443010683613</v>
      </c>
      <c r="AI265" s="67">
        <f t="shared" si="165"/>
        <v>-887.77400305147523</v>
      </c>
      <c r="AJ265" s="67">
        <f t="shared" si="165"/>
        <v>-875.85816186472857</v>
      </c>
      <c r="AK265" s="67">
        <f t="shared" si="165"/>
        <v>-864.10225695759777</v>
      </c>
      <c r="AL265" s="67">
        <f t="shared" si="165"/>
        <v>-852.50414164038318</v>
      </c>
      <c r="AM265" s="67">
        <f t="shared" si="165"/>
        <v>-841.06169803658952</v>
      </c>
      <c r="AN265" s="67">
        <f t="shared" si="165"/>
        <v>-830.58237117101567</v>
      </c>
      <c r="AO265" s="67">
        <f t="shared" si="165"/>
        <v>-819.6502263157663</v>
      </c>
      <c r="AP265" s="67">
        <f t="shared" si="165"/>
        <v>-812.78848503064592</v>
      </c>
      <c r="AQ265" s="67">
        <f t="shared" si="165"/>
        <v>-805.98418714266302</v>
      </c>
      <c r="AR265" s="67">
        <f t="shared" si="165"/>
        <v>-799.23685176165554</v>
      </c>
      <c r="AS265" s="67">
        <f t="shared" si="165"/>
        <v>-791.77278641152759</v>
      </c>
      <c r="AT265" s="67">
        <f t="shared" si="165"/>
        <v>-784.62754955250671</v>
      </c>
      <c r="AU265" s="67">
        <f t="shared" si="165"/>
        <v>-777.54679383081202</v>
      </c>
      <c r="AV265" s="67">
        <f t="shared" si="165"/>
        <v>-770.52993734591951</v>
      </c>
      <c r="AW265" s="67">
        <f t="shared" si="165"/>
        <v>-763.57640344858066</v>
      </c>
      <c r="AX265" s="67">
        <f t="shared" si="165"/>
        <v>-756.68562069343352</v>
      </c>
      <c r="AY265" s="67">
        <f t="shared" si="165"/>
        <v>-750.03319037433755</v>
      </c>
      <c r="AZ265" s="67">
        <f t="shared" si="165"/>
        <v>-744.16526003641559</v>
      </c>
      <c r="BA265" s="67">
        <f t="shared" si="165"/>
        <v>-738.34323780881778</v>
      </c>
      <c r="BB265" s="67">
        <f t="shared" si="165"/>
        <v>-733.28146380911289</v>
      </c>
      <c r="BC265" s="67">
        <f t="shared" si="165"/>
        <v>-728.25439122564921</v>
      </c>
      <c r="BD265" s="67">
        <f t="shared" si="165"/>
        <v>-723.30385263521623</v>
      </c>
      <c r="BE265" s="67">
        <f t="shared" si="165"/>
        <v>-718.36827175800215</v>
      </c>
      <c r="BF265" s="67">
        <f t="shared" si="165"/>
        <v>-712.7709832903754</v>
      </c>
      <c r="BG265" s="67">
        <f t="shared" si="165"/>
        <v>-707.21730704703737</v>
      </c>
      <c r="BH265" s="67">
        <f t="shared" si="165"/>
        <v>-701.70690321593122</v>
      </c>
      <c r="BI265" s="67">
        <f t="shared" si="165"/>
        <v>-696.14650253528464</v>
      </c>
      <c r="BJ265" s="67">
        <f t="shared" si="165"/>
        <v>-690.63016306536247</v>
      </c>
      <c r="BK265" s="67">
        <f t="shared" si="165"/>
        <v>-685.15753566041042</v>
      </c>
      <c r="BL265" s="67">
        <f t="shared" si="165"/>
        <v>-679.72827394134208</v>
      </c>
      <c r="BM265" s="67">
        <f t="shared" si="165"/>
        <v>-674.34203427381669</v>
      </c>
      <c r="BN265" s="67">
        <f t="shared" si="165"/>
        <v>-668.8966183906457</v>
      </c>
      <c r="BO265" s="67">
        <f t="shared" si="165"/>
        <v>-663.49517508019551</v>
      </c>
      <c r="BP265" s="67">
        <f t="shared" ref="BP265:CP265" si="166">NOx_benefits_not_in_exceedance_central/Discount_factor</f>
        <v>-658.13734925716221</v>
      </c>
      <c r="BQ265" s="67">
        <f t="shared" si="166"/>
        <v>-652.8227887036112</v>
      </c>
      <c r="BR265" s="67">
        <f t="shared" si="166"/>
        <v>-647.55114404582139</v>
      </c>
      <c r="BS265" s="67">
        <f t="shared" si="166"/>
        <v>-642.3037199289339</v>
      </c>
      <c r="BT265" s="67">
        <f t="shared" si="166"/>
        <v>-637.09881826006563</v>
      </c>
      <c r="BU265" s="67">
        <f t="shared" si="166"/>
        <v>-631.93609445899108</v>
      </c>
      <c r="BV265" s="67">
        <f t="shared" si="166"/>
        <v>-626.81520673778721</v>
      </c>
      <c r="BW265" s="67">
        <f t="shared" si="166"/>
        <v>-621.73581607820563</v>
      </c>
      <c r="BX265" s="67">
        <f t="shared" si="166"/>
        <v>-616.74967325178068</v>
      </c>
      <c r="BY265" s="67">
        <f t="shared" si="166"/>
        <v>-611.80351785995833</v>
      </c>
      <c r="BZ265" s="67">
        <f t="shared" si="166"/>
        <v>-606.89702921498815</v>
      </c>
      <c r="CA265" s="67">
        <f t="shared" si="166"/>
        <v>-602.02988920094356</v>
      </c>
      <c r="CB265" s="67">
        <f t="shared" si="166"/>
        <v>0</v>
      </c>
      <c r="CC265" s="67">
        <f t="shared" si="166"/>
        <v>0</v>
      </c>
      <c r="CD265" s="67">
        <f t="shared" si="166"/>
        <v>0</v>
      </c>
      <c r="CE265" s="67">
        <f t="shared" si="166"/>
        <v>0</v>
      </c>
      <c r="CF265" s="67">
        <f t="shared" si="166"/>
        <v>0</v>
      </c>
      <c r="CG265" s="67">
        <f t="shared" si="166"/>
        <v>0</v>
      </c>
      <c r="CH265" s="67">
        <f t="shared" si="166"/>
        <v>0</v>
      </c>
      <c r="CI265" s="67">
        <f t="shared" si="166"/>
        <v>0</v>
      </c>
      <c r="CJ265" s="67">
        <f t="shared" si="166"/>
        <v>0</v>
      </c>
      <c r="CK265" s="67">
        <f t="shared" si="166"/>
        <v>0</v>
      </c>
      <c r="CL265" s="67">
        <f t="shared" si="166"/>
        <v>0</v>
      </c>
      <c r="CM265" s="67">
        <f t="shared" si="166"/>
        <v>0</v>
      </c>
      <c r="CN265" s="67">
        <f t="shared" si="166"/>
        <v>0</v>
      </c>
      <c r="CO265" s="67">
        <f t="shared" si="166"/>
        <v>0</v>
      </c>
      <c r="CP265" s="67">
        <f t="shared" si="166"/>
        <v>0</v>
      </c>
      <c r="CQ265" s="52" t="s">
        <v>178</v>
      </c>
    </row>
    <row r="266" spans="1:95" hidden="1" outlineLevel="1" x14ac:dyDescent="0.25">
      <c r="B266" t="s">
        <v>74</v>
      </c>
      <c r="D266" s="67">
        <f t="shared" ref="D266:BO266" si="167">NOx_benefits_not_in_exceedance_high/Discount_factor</f>
        <v>0</v>
      </c>
      <c r="E266" s="67">
        <f t="shared" si="167"/>
        <v>0</v>
      </c>
      <c r="F266" s="67">
        <f t="shared" si="167"/>
        <v>0</v>
      </c>
      <c r="G266" s="67">
        <f t="shared" si="167"/>
        <v>0</v>
      </c>
      <c r="H266" s="67">
        <f t="shared" si="167"/>
        <v>0</v>
      </c>
      <c r="I266" s="67">
        <f t="shared" si="167"/>
        <v>0</v>
      </c>
      <c r="J266" s="67">
        <f t="shared" si="167"/>
        <v>0</v>
      </c>
      <c r="K266" s="67">
        <f t="shared" si="167"/>
        <v>0</v>
      </c>
      <c r="L266" s="67">
        <f t="shared" si="167"/>
        <v>0</v>
      </c>
      <c r="M266" s="67">
        <f t="shared" si="167"/>
        <v>0</v>
      </c>
      <c r="N266" s="67">
        <f t="shared" si="167"/>
        <v>0</v>
      </c>
      <c r="O266" s="67">
        <f t="shared" si="167"/>
        <v>0</v>
      </c>
      <c r="P266" s="67">
        <f t="shared" si="167"/>
        <v>0</v>
      </c>
      <c r="Q266" s="67">
        <f t="shared" si="167"/>
        <v>0</v>
      </c>
      <c r="R266" s="67">
        <f t="shared" si="167"/>
        <v>0</v>
      </c>
      <c r="S266" s="67">
        <f t="shared" si="167"/>
        <v>0</v>
      </c>
      <c r="T266" s="67">
        <f t="shared" si="167"/>
        <v>-428.22520991791907</v>
      </c>
      <c r="U266" s="67">
        <f t="shared" si="167"/>
        <v>-502.45775194510833</v>
      </c>
      <c r="V266" s="67">
        <f t="shared" si="167"/>
        <v>-574.45433316113895</v>
      </c>
      <c r="W266" s="67">
        <f t="shared" si="167"/>
        <v>-644.30259773356738</v>
      </c>
      <c r="X266" s="67">
        <f t="shared" si="167"/>
        <v>-712.08433411951057</v>
      </c>
      <c r="Y266" s="67">
        <f t="shared" si="167"/>
        <v>-777.87635058841488</v>
      </c>
      <c r="Z266" s="67">
        <f t="shared" si="167"/>
        <v>-841.74905868686892</v>
      </c>
      <c r="AA266" s="67">
        <f t="shared" si="167"/>
        <v>-903.76572037036135</v>
      </c>
      <c r="AB266" s="67">
        <f t="shared" si="167"/>
        <v>-964.92113477171597</v>
      </c>
      <c r="AC266" s="67">
        <f t="shared" si="167"/>
        <v>-1023.4393620407265</v>
      </c>
      <c r="AD266" s="67">
        <f t="shared" si="167"/>
        <v>-1080.2444256936499</v>
      </c>
      <c r="AE266" s="67">
        <f t="shared" si="167"/>
        <v>-1065.4105357957201</v>
      </c>
      <c r="AF266" s="67">
        <f t="shared" si="167"/>
        <v>-1050.9206792876721</v>
      </c>
      <c r="AG266" s="67">
        <f t="shared" si="167"/>
        <v>-1036.6278885440124</v>
      </c>
      <c r="AH266" s="67">
        <f t="shared" si="167"/>
        <v>-1022.5294834198088</v>
      </c>
      <c r="AI266" s="67">
        <f t="shared" si="167"/>
        <v>-1008.6228202207859</v>
      </c>
      <c r="AJ266" s="67">
        <f t="shared" si="167"/>
        <v>-995.08492735416826</v>
      </c>
      <c r="AK266" s="67">
        <f t="shared" si="167"/>
        <v>-981.72874219789912</v>
      </c>
      <c r="AL266" s="67">
        <f t="shared" si="167"/>
        <v>-968.55182584273905</v>
      </c>
      <c r="AM266" s="67">
        <f t="shared" si="167"/>
        <v>-955.55177211486875</v>
      </c>
      <c r="AN266" s="67">
        <f t="shared" si="167"/>
        <v>-943.64594002152046</v>
      </c>
      <c r="AO266" s="67">
        <f t="shared" si="167"/>
        <v>-931.22564979330514</v>
      </c>
      <c r="AP266" s="67">
        <f t="shared" si="167"/>
        <v>-923.42984948507956</v>
      </c>
      <c r="AQ266" s="67">
        <f t="shared" si="167"/>
        <v>-915.69931209402034</v>
      </c>
      <c r="AR266" s="67">
        <f t="shared" si="167"/>
        <v>-908.03349126847786</v>
      </c>
      <c r="AS266" s="67">
        <f t="shared" si="167"/>
        <v>-899.55337513770417</v>
      </c>
      <c r="AT266" s="67">
        <f t="shared" si="167"/>
        <v>-891.43548823504693</v>
      </c>
      <c r="AU266" s="67">
        <f t="shared" si="167"/>
        <v>-883.39086000673399</v>
      </c>
      <c r="AV266" s="67">
        <f t="shared" si="167"/>
        <v>-875.41882934065188</v>
      </c>
      <c r="AW266" s="67">
        <f t="shared" si="167"/>
        <v>-867.51874109079586</v>
      </c>
      <c r="AX266" s="67">
        <f t="shared" si="167"/>
        <v>-859.68994602342968</v>
      </c>
      <c r="AY266" s="67">
        <f t="shared" si="167"/>
        <v>-852.13194927346206</v>
      </c>
      <c r="AZ266" s="67">
        <f t="shared" si="167"/>
        <v>-845.4652430780219</v>
      </c>
      <c r="BA266" s="67">
        <f t="shared" si="167"/>
        <v>-838.85069426446842</v>
      </c>
      <c r="BB266" s="67">
        <f t="shared" si="167"/>
        <v>-833.09988296637425</v>
      </c>
      <c r="BC266" s="67">
        <f t="shared" si="167"/>
        <v>-827.38849683751766</v>
      </c>
      <c r="BD266" s="67">
        <f t="shared" si="167"/>
        <v>-821.76406294158062</v>
      </c>
      <c r="BE266" s="67">
        <f t="shared" si="167"/>
        <v>-816.1566228873636</v>
      </c>
      <c r="BF266" s="67">
        <f t="shared" si="167"/>
        <v>-809.7973998639344</v>
      </c>
      <c r="BG266" s="67">
        <f t="shared" si="167"/>
        <v>-803.48772580736704</v>
      </c>
      <c r="BH266" s="67">
        <f t="shared" si="167"/>
        <v>-797.22721464846632</v>
      </c>
      <c r="BI266" s="67">
        <f t="shared" si="167"/>
        <v>-790.9099007861613</v>
      </c>
      <c r="BJ266" s="67">
        <f t="shared" si="167"/>
        <v>-784.64264599572596</v>
      </c>
      <c r="BK266" s="67">
        <f t="shared" si="167"/>
        <v>-778.42505360371229</v>
      </c>
      <c r="BL266" s="67">
        <f t="shared" si="167"/>
        <v>-772.2567300799542</v>
      </c>
      <c r="BM266" s="67">
        <f t="shared" si="167"/>
        <v>-766.13728501266087</v>
      </c>
      <c r="BN266" s="67">
        <f t="shared" si="167"/>
        <v>-759.95060832863942</v>
      </c>
      <c r="BO266" s="67">
        <f t="shared" si="167"/>
        <v>-753.8138900125781</v>
      </c>
      <c r="BP266" s="67">
        <f t="shared" ref="BP266:CP266" si="168">NOx_benefits_not_in_exceedance_high/Discount_factor</f>
        <v>-747.72672664295396</v>
      </c>
      <c r="BQ266" s="67">
        <f t="shared" si="168"/>
        <v>-741.68871805593517</v>
      </c>
      <c r="BR266" s="67">
        <f t="shared" si="168"/>
        <v>-735.69946731907453</v>
      </c>
      <c r="BS266" s="67">
        <f t="shared" si="168"/>
        <v>-729.73773416009772</v>
      </c>
      <c r="BT266" s="67">
        <f t="shared" si="168"/>
        <v>-723.82431184520544</v>
      </c>
      <c r="BU266" s="67">
        <f t="shared" si="168"/>
        <v>-717.95880888796364</v>
      </c>
      <c r="BV266" s="67">
        <f t="shared" si="168"/>
        <v>-712.14083697434444</v>
      </c>
      <c r="BW266" s="67">
        <f t="shared" si="168"/>
        <v>-706.37001093701883</v>
      </c>
      <c r="BX266" s="67">
        <f t="shared" si="168"/>
        <v>-700.70512615516441</v>
      </c>
      <c r="BY266" s="67">
        <f t="shared" si="168"/>
        <v>-695.08567212361743</v>
      </c>
      <c r="BZ266" s="67">
        <f t="shared" si="168"/>
        <v>-689.51128450079807</v>
      </c>
      <c r="CA266" s="67">
        <f t="shared" si="168"/>
        <v>-683.98160186704058</v>
      </c>
      <c r="CB266" s="67">
        <f t="shared" si="168"/>
        <v>0</v>
      </c>
      <c r="CC266" s="67">
        <f t="shared" si="168"/>
        <v>0</v>
      </c>
      <c r="CD266" s="67">
        <f t="shared" si="168"/>
        <v>0</v>
      </c>
      <c r="CE266" s="67">
        <f t="shared" si="168"/>
        <v>0</v>
      </c>
      <c r="CF266" s="67">
        <f t="shared" si="168"/>
        <v>0</v>
      </c>
      <c r="CG266" s="67">
        <f t="shared" si="168"/>
        <v>0</v>
      </c>
      <c r="CH266" s="67">
        <f t="shared" si="168"/>
        <v>0</v>
      </c>
      <c r="CI266" s="67">
        <f t="shared" si="168"/>
        <v>0</v>
      </c>
      <c r="CJ266" s="67">
        <f t="shared" si="168"/>
        <v>0</v>
      </c>
      <c r="CK266" s="67">
        <f t="shared" si="168"/>
        <v>0</v>
      </c>
      <c r="CL266" s="67">
        <f t="shared" si="168"/>
        <v>0</v>
      </c>
      <c r="CM266" s="67">
        <f t="shared" si="168"/>
        <v>0</v>
      </c>
      <c r="CN266" s="67">
        <f t="shared" si="168"/>
        <v>0</v>
      </c>
      <c r="CO266" s="67">
        <f t="shared" si="168"/>
        <v>0</v>
      </c>
      <c r="CP266" s="67">
        <f t="shared" si="168"/>
        <v>0</v>
      </c>
      <c r="CQ266" s="52" t="s">
        <v>179</v>
      </c>
    </row>
    <row r="267" spans="1:95" hidden="1" outlineLevel="1" x14ac:dyDescent="0.25">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4"/>
      <c r="CP267" s="54"/>
      <c r="CQ267" s="52"/>
    </row>
    <row r="268" spans="1:95" ht="27" hidden="1" customHeight="1" outlineLevel="1" x14ac:dyDescent="0.25">
      <c r="A268" s="56"/>
      <c r="B268" s="110" t="s">
        <v>168</v>
      </c>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row>
    <row r="269" spans="1:95" hidden="1" outlineLevel="1" x14ac:dyDescent="0.25"/>
    <row r="270" spans="1:95" hidden="1" outlineLevel="1" x14ac:dyDescent="0.25">
      <c r="B270" t="s">
        <v>72</v>
      </c>
      <c r="D270" s="67">
        <f t="shared" ref="D270:BO270" si="169">NOx_benefits_in_exceedance_low/Discount_factor</f>
        <v>0</v>
      </c>
      <c r="E270" s="67">
        <f t="shared" si="169"/>
        <v>0</v>
      </c>
      <c r="F270" s="67">
        <f t="shared" si="169"/>
        <v>0</v>
      </c>
      <c r="G270" s="67">
        <f t="shared" si="169"/>
        <v>0</v>
      </c>
      <c r="H270" s="67">
        <f t="shared" si="169"/>
        <v>0</v>
      </c>
      <c r="I270" s="67">
        <f t="shared" si="169"/>
        <v>0</v>
      </c>
      <c r="J270" s="67">
        <f t="shared" si="169"/>
        <v>0</v>
      </c>
      <c r="K270" s="67">
        <f t="shared" si="169"/>
        <v>0</v>
      </c>
      <c r="L270" s="67">
        <f t="shared" si="169"/>
        <v>0</v>
      </c>
      <c r="M270" s="67">
        <f t="shared" si="169"/>
        <v>0</v>
      </c>
      <c r="N270" s="67">
        <f t="shared" si="169"/>
        <v>0</v>
      </c>
      <c r="O270" s="67">
        <f t="shared" si="169"/>
        <v>0</v>
      </c>
      <c r="P270" s="67">
        <f t="shared" si="169"/>
        <v>0</v>
      </c>
      <c r="Q270" s="67">
        <f t="shared" si="169"/>
        <v>0</v>
      </c>
      <c r="R270" s="67">
        <f t="shared" si="169"/>
        <v>0</v>
      </c>
      <c r="S270" s="67">
        <f t="shared" si="169"/>
        <v>0</v>
      </c>
      <c r="T270" s="67">
        <f t="shared" si="169"/>
        <v>0</v>
      </c>
      <c r="U270" s="67">
        <f t="shared" si="169"/>
        <v>0</v>
      </c>
      <c r="V270" s="67">
        <f t="shared" si="169"/>
        <v>0</v>
      </c>
      <c r="W270" s="67">
        <f t="shared" si="169"/>
        <v>0</v>
      </c>
      <c r="X270" s="67">
        <f t="shared" si="169"/>
        <v>0</v>
      </c>
      <c r="Y270" s="67">
        <f t="shared" si="169"/>
        <v>0</v>
      </c>
      <c r="Z270" s="67">
        <f t="shared" si="169"/>
        <v>0</v>
      </c>
      <c r="AA270" s="67">
        <f t="shared" si="169"/>
        <v>0</v>
      </c>
      <c r="AB270" s="67">
        <f t="shared" si="169"/>
        <v>0</v>
      </c>
      <c r="AC270" s="67">
        <f t="shared" si="169"/>
        <v>0</v>
      </c>
      <c r="AD270" s="67">
        <f t="shared" si="169"/>
        <v>0</v>
      </c>
      <c r="AE270" s="67">
        <f t="shared" si="169"/>
        <v>0</v>
      </c>
      <c r="AF270" s="67">
        <f t="shared" si="169"/>
        <v>0</v>
      </c>
      <c r="AG270" s="67">
        <f t="shared" si="169"/>
        <v>0</v>
      </c>
      <c r="AH270" s="67">
        <f t="shared" si="169"/>
        <v>0</v>
      </c>
      <c r="AI270" s="67">
        <f t="shared" si="169"/>
        <v>0</v>
      </c>
      <c r="AJ270" s="67">
        <f t="shared" si="169"/>
        <v>0</v>
      </c>
      <c r="AK270" s="67">
        <f t="shared" si="169"/>
        <v>0</v>
      </c>
      <c r="AL270" s="67">
        <f t="shared" si="169"/>
        <v>0</v>
      </c>
      <c r="AM270" s="67">
        <f t="shared" si="169"/>
        <v>0</v>
      </c>
      <c r="AN270" s="67">
        <f t="shared" si="169"/>
        <v>0</v>
      </c>
      <c r="AO270" s="67">
        <f t="shared" si="169"/>
        <v>0</v>
      </c>
      <c r="AP270" s="67">
        <f t="shared" si="169"/>
        <v>0</v>
      </c>
      <c r="AQ270" s="67">
        <f t="shared" si="169"/>
        <v>0</v>
      </c>
      <c r="AR270" s="67">
        <f t="shared" si="169"/>
        <v>0</v>
      </c>
      <c r="AS270" s="67">
        <f t="shared" si="169"/>
        <v>0</v>
      </c>
      <c r="AT270" s="67">
        <f t="shared" si="169"/>
        <v>0</v>
      </c>
      <c r="AU270" s="67">
        <f t="shared" si="169"/>
        <v>0</v>
      </c>
      <c r="AV270" s="67">
        <f t="shared" si="169"/>
        <v>0</v>
      </c>
      <c r="AW270" s="67">
        <f t="shared" si="169"/>
        <v>0</v>
      </c>
      <c r="AX270" s="67">
        <f t="shared" si="169"/>
        <v>0</v>
      </c>
      <c r="AY270" s="67">
        <f t="shared" si="169"/>
        <v>0</v>
      </c>
      <c r="AZ270" s="67">
        <f t="shared" si="169"/>
        <v>0</v>
      </c>
      <c r="BA270" s="67">
        <f t="shared" si="169"/>
        <v>0</v>
      </c>
      <c r="BB270" s="67">
        <f t="shared" si="169"/>
        <v>0</v>
      </c>
      <c r="BC270" s="67">
        <f t="shared" si="169"/>
        <v>0</v>
      </c>
      <c r="BD270" s="67">
        <f t="shared" si="169"/>
        <v>0</v>
      </c>
      <c r="BE270" s="67">
        <f t="shared" si="169"/>
        <v>0</v>
      </c>
      <c r="BF270" s="67">
        <f t="shared" si="169"/>
        <v>0</v>
      </c>
      <c r="BG270" s="67">
        <f t="shared" si="169"/>
        <v>0</v>
      </c>
      <c r="BH270" s="67">
        <f t="shared" si="169"/>
        <v>0</v>
      </c>
      <c r="BI270" s="67">
        <f t="shared" si="169"/>
        <v>0</v>
      </c>
      <c r="BJ270" s="67">
        <f t="shared" si="169"/>
        <v>0</v>
      </c>
      <c r="BK270" s="67">
        <f t="shared" si="169"/>
        <v>0</v>
      </c>
      <c r="BL270" s="67">
        <f t="shared" si="169"/>
        <v>0</v>
      </c>
      <c r="BM270" s="67">
        <f t="shared" si="169"/>
        <v>0</v>
      </c>
      <c r="BN270" s="67">
        <f t="shared" si="169"/>
        <v>0</v>
      </c>
      <c r="BO270" s="67">
        <f t="shared" si="169"/>
        <v>0</v>
      </c>
      <c r="BP270" s="67">
        <f t="shared" ref="BP270:CP270" si="170">NOx_benefits_in_exceedance_low/Discount_factor</f>
        <v>0</v>
      </c>
      <c r="BQ270" s="67">
        <f t="shared" si="170"/>
        <v>0</v>
      </c>
      <c r="BR270" s="67">
        <f t="shared" si="170"/>
        <v>0</v>
      </c>
      <c r="BS270" s="67">
        <f t="shared" si="170"/>
        <v>0</v>
      </c>
      <c r="BT270" s="67">
        <f t="shared" si="170"/>
        <v>0</v>
      </c>
      <c r="BU270" s="67">
        <f t="shared" si="170"/>
        <v>0</v>
      </c>
      <c r="BV270" s="67">
        <f t="shared" si="170"/>
        <v>0</v>
      </c>
      <c r="BW270" s="67">
        <f t="shared" si="170"/>
        <v>0</v>
      </c>
      <c r="BX270" s="67">
        <f t="shared" si="170"/>
        <v>0</v>
      </c>
      <c r="BY270" s="67">
        <f t="shared" si="170"/>
        <v>0</v>
      </c>
      <c r="BZ270" s="67">
        <f t="shared" si="170"/>
        <v>0</v>
      </c>
      <c r="CA270" s="67">
        <f t="shared" si="170"/>
        <v>0</v>
      </c>
      <c r="CB270" s="67">
        <f t="shared" si="170"/>
        <v>0</v>
      </c>
      <c r="CC270" s="67">
        <f t="shared" si="170"/>
        <v>0</v>
      </c>
      <c r="CD270" s="67">
        <f t="shared" si="170"/>
        <v>0</v>
      </c>
      <c r="CE270" s="67">
        <f t="shared" si="170"/>
        <v>0</v>
      </c>
      <c r="CF270" s="67">
        <f t="shared" si="170"/>
        <v>0</v>
      </c>
      <c r="CG270" s="67">
        <f t="shared" si="170"/>
        <v>0</v>
      </c>
      <c r="CH270" s="67">
        <f t="shared" si="170"/>
        <v>0</v>
      </c>
      <c r="CI270" s="67">
        <f t="shared" si="170"/>
        <v>0</v>
      </c>
      <c r="CJ270" s="67">
        <f t="shared" si="170"/>
        <v>0</v>
      </c>
      <c r="CK270" s="67">
        <f t="shared" si="170"/>
        <v>0</v>
      </c>
      <c r="CL270" s="67">
        <f t="shared" si="170"/>
        <v>0</v>
      </c>
      <c r="CM270" s="67">
        <f t="shared" si="170"/>
        <v>0</v>
      </c>
      <c r="CN270" s="67">
        <f t="shared" si="170"/>
        <v>0</v>
      </c>
      <c r="CO270" s="67">
        <f t="shared" si="170"/>
        <v>0</v>
      </c>
      <c r="CP270" s="67">
        <f t="shared" si="170"/>
        <v>0</v>
      </c>
      <c r="CQ270" s="52" t="s">
        <v>180</v>
      </c>
    </row>
    <row r="271" spans="1:95" hidden="1" outlineLevel="1" x14ac:dyDescent="0.25">
      <c r="B271" t="s">
        <v>73</v>
      </c>
      <c r="D271" s="67">
        <f t="shared" ref="D271:BO271" si="171">NOx_benefits_in_exceedance_central/Discount_factor</f>
        <v>0</v>
      </c>
      <c r="E271" s="67">
        <f t="shared" si="171"/>
        <v>0</v>
      </c>
      <c r="F271" s="67">
        <f t="shared" si="171"/>
        <v>0</v>
      </c>
      <c r="G271" s="67">
        <f t="shared" si="171"/>
        <v>0</v>
      </c>
      <c r="H271" s="67">
        <f t="shared" si="171"/>
        <v>0</v>
      </c>
      <c r="I271" s="67">
        <f t="shared" si="171"/>
        <v>0</v>
      </c>
      <c r="J271" s="67">
        <f t="shared" si="171"/>
        <v>0</v>
      </c>
      <c r="K271" s="67">
        <f t="shared" si="171"/>
        <v>0</v>
      </c>
      <c r="L271" s="67">
        <f t="shared" si="171"/>
        <v>0</v>
      </c>
      <c r="M271" s="67">
        <f t="shared" si="171"/>
        <v>0</v>
      </c>
      <c r="N271" s="67">
        <f t="shared" si="171"/>
        <v>0</v>
      </c>
      <c r="O271" s="67">
        <f t="shared" si="171"/>
        <v>0</v>
      </c>
      <c r="P271" s="67">
        <f t="shared" si="171"/>
        <v>0</v>
      </c>
      <c r="Q271" s="67">
        <f t="shared" si="171"/>
        <v>0</v>
      </c>
      <c r="R271" s="67">
        <f t="shared" si="171"/>
        <v>0</v>
      </c>
      <c r="S271" s="67">
        <f t="shared" si="171"/>
        <v>0</v>
      </c>
      <c r="T271" s="67">
        <f t="shared" si="171"/>
        <v>0</v>
      </c>
      <c r="U271" s="67">
        <f t="shared" si="171"/>
        <v>0</v>
      </c>
      <c r="V271" s="67">
        <f t="shared" si="171"/>
        <v>0</v>
      </c>
      <c r="W271" s="67">
        <f t="shared" si="171"/>
        <v>0</v>
      </c>
      <c r="X271" s="67">
        <f t="shared" si="171"/>
        <v>0</v>
      </c>
      <c r="Y271" s="67">
        <f t="shared" si="171"/>
        <v>0</v>
      </c>
      <c r="Z271" s="67">
        <f t="shared" si="171"/>
        <v>0</v>
      </c>
      <c r="AA271" s="67">
        <f t="shared" si="171"/>
        <v>0</v>
      </c>
      <c r="AB271" s="67">
        <f t="shared" si="171"/>
        <v>0</v>
      </c>
      <c r="AC271" s="67">
        <f t="shared" si="171"/>
        <v>0</v>
      </c>
      <c r="AD271" s="67">
        <f t="shared" si="171"/>
        <v>0</v>
      </c>
      <c r="AE271" s="67">
        <f t="shared" si="171"/>
        <v>0</v>
      </c>
      <c r="AF271" s="67">
        <f t="shared" si="171"/>
        <v>0</v>
      </c>
      <c r="AG271" s="67">
        <f t="shared" si="171"/>
        <v>0</v>
      </c>
      <c r="AH271" s="67">
        <f t="shared" si="171"/>
        <v>0</v>
      </c>
      <c r="AI271" s="67">
        <f t="shared" si="171"/>
        <v>0</v>
      </c>
      <c r="AJ271" s="67">
        <f t="shared" si="171"/>
        <v>0</v>
      </c>
      <c r="AK271" s="67">
        <f t="shared" si="171"/>
        <v>0</v>
      </c>
      <c r="AL271" s="67">
        <f t="shared" si="171"/>
        <v>0</v>
      </c>
      <c r="AM271" s="67">
        <f t="shared" si="171"/>
        <v>0</v>
      </c>
      <c r="AN271" s="67">
        <f t="shared" si="171"/>
        <v>0</v>
      </c>
      <c r="AO271" s="67">
        <f t="shared" si="171"/>
        <v>0</v>
      </c>
      <c r="AP271" s="67">
        <f t="shared" si="171"/>
        <v>0</v>
      </c>
      <c r="AQ271" s="67">
        <f t="shared" si="171"/>
        <v>0</v>
      </c>
      <c r="AR271" s="67">
        <f t="shared" si="171"/>
        <v>0</v>
      </c>
      <c r="AS271" s="67">
        <f t="shared" si="171"/>
        <v>0</v>
      </c>
      <c r="AT271" s="67">
        <f t="shared" si="171"/>
        <v>0</v>
      </c>
      <c r="AU271" s="67">
        <f t="shared" si="171"/>
        <v>0</v>
      </c>
      <c r="AV271" s="67">
        <f t="shared" si="171"/>
        <v>0</v>
      </c>
      <c r="AW271" s="67">
        <f t="shared" si="171"/>
        <v>0</v>
      </c>
      <c r="AX271" s="67">
        <f t="shared" si="171"/>
        <v>0</v>
      </c>
      <c r="AY271" s="67">
        <f t="shared" si="171"/>
        <v>0</v>
      </c>
      <c r="AZ271" s="67">
        <f t="shared" si="171"/>
        <v>0</v>
      </c>
      <c r="BA271" s="67">
        <f t="shared" si="171"/>
        <v>0</v>
      </c>
      <c r="BB271" s="67">
        <f t="shared" si="171"/>
        <v>0</v>
      </c>
      <c r="BC271" s="67">
        <f t="shared" si="171"/>
        <v>0</v>
      </c>
      <c r="BD271" s="67">
        <f t="shared" si="171"/>
        <v>0</v>
      </c>
      <c r="BE271" s="67">
        <f t="shared" si="171"/>
        <v>0</v>
      </c>
      <c r="BF271" s="67">
        <f t="shared" si="171"/>
        <v>0</v>
      </c>
      <c r="BG271" s="67">
        <f t="shared" si="171"/>
        <v>0</v>
      </c>
      <c r="BH271" s="67">
        <f t="shared" si="171"/>
        <v>0</v>
      </c>
      <c r="BI271" s="67">
        <f t="shared" si="171"/>
        <v>0</v>
      </c>
      <c r="BJ271" s="67">
        <f t="shared" si="171"/>
        <v>0</v>
      </c>
      <c r="BK271" s="67">
        <f t="shared" si="171"/>
        <v>0</v>
      </c>
      <c r="BL271" s="67">
        <f t="shared" si="171"/>
        <v>0</v>
      </c>
      <c r="BM271" s="67">
        <f t="shared" si="171"/>
        <v>0</v>
      </c>
      <c r="BN271" s="67">
        <f t="shared" si="171"/>
        <v>0</v>
      </c>
      <c r="BO271" s="67">
        <f t="shared" si="171"/>
        <v>0</v>
      </c>
      <c r="BP271" s="67">
        <f t="shared" ref="BP271:CP271" si="172">NOx_benefits_in_exceedance_central/Discount_factor</f>
        <v>0</v>
      </c>
      <c r="BQ271" s="67">
        <f t="shared" si="172"/>
        <v>0</v>
      </c>
      <c r="BR271" s="67">
        <f t="shared" si="172"/>
        <v>0</v>
      </c>
      <c r="BS271" s="67">
        <f t="shared" si="172"/>
        <v>0</v>
      </c>
      <c r="BT271" s="67">
        <f t="shared" si="172"/>
        <v>0</v>
      </c>
      <c r="BU271" s="67">
        <f t="shared" si="172"/>
        <v>0</v>
      </c>
      <c r="BV271" s="67">
        <f t="shared" si="172"/>
        <v>0</v>
      </c>
      <c r="BW271" s="67">
        <f t="shared" si="172"/>
        <v>0</v>
      </c>
      <c r="BX271" s="67">
        <f t="shared" si="172"/>
        <v>0</v>
      </c>
      <c r="BY271" s="67">
        <f t="shared" si="172"/>
        <v>0</v>
      </c>
      <c r="BZ271" s="67">
        <f t="shared" si="172"/>
        <v>0</v>
      </c>
      <c r="CA271" s="67">
        <f t="shared" si="172"/>
        <v>0</v>
      </c>
      <c r="CB271" s="67">
        <f t="shared" si="172"/>
        <v>0</v>
      </c>
      <c r="CC271" s="67">
        <f t="shared" si="172"/>
        <v>0</v>
      </c>
      <c r="CD271" s="67">
        <f t="shared" si="172"/>
        <v>0</v>
      </c>
      <c r="CE271" s="67">
        <f t="shared" si="172"/>
        <v>0</v>
      </c>
      <c r="CF271" s="67">
        <f t="shared" si="172"/>
        <v>0</v>
      </c>
      <c r="CG271" s="67">
        <f t="shared" si="172"/>
        <v>0</v>
      </c>
      <c r="CH271" s="67">
        <f t="shared" si="172"/>
        <v>0</v>
      </c>
      <c r="CI271" s="67">
        <f t="shared" si="172"/>
        <v>0</v>
      </c>
      <c r="CJ271" s="67">
        <f t="shared" si="172"/>
        <v>0</v>
      </c>
      <c r="CK271" s="67">
        <f t="shared" si="172"/>
        <v>0</v>
      </c>
      <c r="CL271" s="67">
        <f t="shared" si="172"/>
        <v>0</v>
      </c>
      <c r="CM271" s="67">
        <f t="shared" si="172"/>
        <v>0</v>
      </c>
      <c r="CN271" s="67">
        <f t="shared" si="172"/>
        <v>0</v>
      </c>
      <c r="CO271" s="67">
        <f t="shared" si="172"/>
        <v>0</v>
      </c>
      <c r="CP271" s="67">
        <f t="shared" si="172"/>
        <v>0</v>
      </c>
      <c r="CQ271" s="52" t="s">
        <v>181</v>
      </c>
    </row>
    <row r="272" spans="1:95" hidden="1" outlineLevel="1" x14ac:dyDescent="0.25">
      <c r="B272" t="s">
        <v>74</v>
      </c>
      <c r="D272" s="67">
        <f t="shared" ref="D272:BO272" si="173">NOx_benefits_in_exceedance_high/Discount_factor</f>
        <v>0</v>
      </c>
      <c r="E272" s="67">
        <f t="shared" si="173"/>
        <v>0</v>
      </c>
      <c r="F272" s="67">
        <f t="shared" si="173"/>
        <v>0</v>
      </c>
      <c r="G272" s="67">
        <f t="shared" si="173"/>
        <v>0</v>
      </c>
      <c r="H272" s="67">
        <f t="shared" si="173"/>
        <v>0</v>
      </c>
      <c r="I272" s="67">
        <f t="shared" si="173"/>
        <v>0</v>
      </c>
      <c r="J272" s="67">
        <f t="shared" si="173"/>
        <v>0</v>
      </c>
      <c r="K272" s="67">
        <f t="shared" si="173"/>
        <v>0</v>
      </c>
      <c r="L272" s="67">
        <f t="shared" si="173"/>
        <v>0</v>
      </c>
      <c r="M272" s="67">
        <f t="shared" si="173"/>
        <v>0</v>
      </c>
      <c r="N272" s="67">
        <f t="shared" si="173"/>
        <v>0</v>
      </c>
      <c r="O272" s="67">
        <f t="shared" si="173"/>
        <v>0</v>
      </c>
      <c r="P272" s="67">
        <f t="shared" si="173"/>
        <v>0</v>
      </c>
      <c r="Q272" s="67">
        <f t="shared" si="173"/>
        <v>0</v>
      </c>
      <c r="R272" s="67">
        <f t="shared" si="173"/>
        <v>0</v>
      </c>
      <c r="S272" s="67">
        <f t="shared" si="173"/>
        <v>0</v>
      </c>
      <c r="T272" s="67">
        <f t="shared" si="173"/>
        <v>0</v>
      </c>
      <c r="U272" s="67">
        <f t="shared" si="173"/>
        <v>0</v>
      </c>
      <c r="V272" s="67">
        <f t="shared" si="173"/>
        <v>0</v>
      </c>
      <c r="W272" s="67">
        <f t="shared" si="173"/>
        <v>0</v>
      </c>
      <c r="X272" s="67">
        <f t="shared" si="173"/>
        <v>0</v>
      </c>
      <c r="Y272" s="67">
        <f t="shared" si="173"/>
        <v>0</v>
      </c>
      <c r="Z272" s="67">
        <f t="shared" si="173"/>
        <v>0</v>
      </c>
      <c r="AA272" s="67">
        <f t="shared" si="173"/>
        <v>0</v>
      </c>
      <c r="AB272" s="67">
        <f t="shared" si="173"/>
        <v>0</v>
      </c>
      <c r="AC272" s="67">
        <f t="shared" si="173"/>
        <v>0</v>
      </c>
      <c r="AD272" s="67">
        <f t="shared" si="173"/>
        <v>0</v>
      </c>
      <c r="AE272" s="67">
        <f t="shared" si="173"/>
        <v>0</v>
      </c>
      <c r="AF272" s="67">
        <f t="shared" si="173"/>
        <v>0</v>
      </c>
      <c r="AG272" s="67">
        <f t="shared" si="173"/>
        <v>0</v>
      </c>
      <c r="AH272" s="67">
        <f t="shared" si="173"/>
        <v>0</v>
      </c>
      <c r="AI272" s="67">
        <f t="shared" si="173"/>
        <v>0</v>
      </c>
      <c r="AJ272" s="67">
        <f t="shared" si="173"/>
        <v>0</v>
      </c>
      <c r="AK272" s="67">
        <f t="shared" si="173"/>
        <v>0</v>
      </c>
      <c r="AL272" s="67">
        <f t="shared" si="173"/>
        <v>0</v>
      </c>
      <c r="AM272" s="67">
        <f t="shared" si="173"/>
        <v>0</v>
      </c>
      <c r="AN272" s="67">
        <f t="shared" si="173"/>
        <v>0</v>
      </c>
      <c r="AO272" s="67">
        <f t="shared" si="173"/>
        <v>0</v>
      </c>
      <c r="AP272" s="67">
        <f t="shared" si="173"/>
        <v>0</v>
      </c>
      <c r="AQ272" s="67">
        <f t="shared" si="173"/>
        <v>0</v>
      </c>
      <c r="AR272" s="67">
        <f t="shared" si="173"/>
        <v>0</v>
      </c>
      <c r="AS272" s="67">
        <f t="shared" si="173"/>
        <v>0</v>
      </c>
      <c r="AT272" s="67">
        <f t="shared" si="173"/>
        <v>0</v>
      </c>
      <c r="AU272" s="67">
        <f t="shared" si="173"/>
        <v>0</v>
      </c>
      <c r="AV272" s="67">
        <f t="shared" si="173"/>
        <v>0</v>
      </c>
      <c r="AW272" s="67">
        <f t="shared" si="173"/>
        <v>0</v>
      </c>
      <c r="AX272" s="67">
        <f t="shared" si="173"/>
        <v>0</v>
      </c>
      <c r="AY272" s="67">
        <f t="shared" si="173"/>
        <v>0</v>
      </c>
      <c r="AZ272" s="67">
        <f t="shared" si="173"/>
        <v>0</v>
      </c>
      <c r="BA272" s="67">
        <f t="shared" si="173"/>
        <v>0</v>
      </c>
      <c r="BB272" s="67">
        <f t="shared" si="173"/>
        <v>0</v>
      </c>
      <c r="BC272" s="67">
        <f t="shared" si="173"/>
        <v>0</v>
      </c>
      <c r="BD272" s="67">
        <f t="shared" si="173"/>
        <v>0</v>
      </c>
      <c r="BE272" s="67">
        <f t="shared" si="173"/>
        <v>0</v>
      </c>
      <c r="BF272" s="67">
        <f t="shared" si="173"/>
        <v>0</v>
      </c>
      <c r="BG272" s="67">
        <f t="shared" si="173"/>
        <v>0</v>
      </c>
      <c r="BH272" s="67">
        <f t="shared" si="173"/>
        <v>0</v>
      </c>
      <c r="BI272" s="67">
        <f t="shared" si="173"/>
        <v>0</v>
      </c>
      <c r="BJ272" s="67">
        <f t="shared" si="173"/>
        <v>0</v>
      </c>
      <c r="BK272" s="67">
        <f t="shared" si="173"/>
        <v>0</v>
      </c>
      <c r="BL272" s="67">
        <f t="shared" si="173"/>
        <v>0</v>
      </c>
      <c r="BM272" s="67">
        <f t="shared" si="173"/>
        <v>0</v>
      </c>
      <c r="BN272" s="67">
        <f t="shared" si="173"/>
        <v>0</v>
      </c>
      <c r="BO272" s="67">
        <f t="shared" si="173"/>
        <v>0</v>
      </c>
      <c r="BP272" s="67">
        <f t="shared" ref="BP272:CP272" si="174">NOx_benefits_in_exceedance_high/Discount_factor</f>
        <v>0</v>
      </c>
      <c r="BQ272" s="67">
        <f t="shared" si="174"/>
        <v>0</v>
      </c>
      <c r="BR272" s="67">
        <f t="shared" si="174"/>
        <v>0</v>
      </c>
      <c r="BS272" s="67">
        <f t="shared" si="174"/>
        <v>0</v>
      </c>
      <c r="BT272" s="67">
        <f t="shared" si="174"/>
        <v>0</v>
      </c>
      <c r="BU272" s="67">
        <f t="shared" si="174"/>
        <v>0</v>
      </c>
      <c r="BV272" s="67">
        <f t="shared" si="174"/>
        <v>0</v>
      </c>
      <c r="BW272" s="67">
        <f t="shared" si="174"/>
        <v>0</v>
      </c>
      <c r="BX272" s="67">
        <f t="shared" si="174"/>
        <v>0</v>
      </c>
      <c r="BY272" s="67">
        <f t="shared" si="174"/>
        <v>0</v>
      </c>
      <c r="BZ272" s="67">
        <f t="shared" si="174"/>
        <v>0</v>
      </c>
      <c r="CA272" s="67">
        <f t="shared" si="174"/>
        <v>0</v>
      </c>
      <c r="CB272" s="67">
        <f t="shared" si="174"/>
        <v>0</v>
      </c>
      <c r="CC272" s="67">
        <f t="shared" si="174"/>
        <v>0</v>
      </c>
      <c r="CD272" s="67">
        <f t="shared" si="174"/>
        <v>0</v>
      </c>
      <c r="CE272" s="67">
        <f t="shared" si="174"/>
        <v>0</v>
      </c>
      <c r="CF272" s="67">
        <f t="shared" si="174"/>
        <v>0</v>
      </c>
      <c r="CG272" s="67">
        <f t="shared" si="174"/>
        <v>0</v>
      </c>
      <c r="CH272" s="67">
        <f t="shared" si="174"/>
        <v>0</v>
      </c>
      <c r="CI272" s="67">
        <f t="shared" si="174"/>
        <v>0</v>
      </c>
      <c r="CJ272" s="67">
        <f t="shared" si="174"/>
        <v>0</v>
      </c>
      <c r="CK272" s="67">
        <f t="shared" si="174"/>
        <v>0</v>
      </c>
      <c r="CL272" s="67">
        <f t="shared" si="174"/>
        <v>0</v>
      </c>
      <c r="CM272" s="67">
        <f t="shared" si="174"/>
        <v>0</v>
      </c>
      <c r="CN272" s="67">
        <f t="shared" si="174"/>
        <v>0</v>
      </c>
      <c r="CO272" s="67">
        <f t="shared" si="174"/>
        <v>0</v>
      </c>
      <c r="CP272" s="67">
        <f t="shared" si="174"/>
        <v>0</v>
      </c>
      <c r="CQ272" s="52" t="s">
        <v>182</v>
      </c>
    </row>
    <row r="273" spans="1:95" hidden="1" outlineLevel="1" x14ac:dyDescent="0.25">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4"/>
      <c r="CP273" s="54"/>
      <c r="CQ273" s="52"/>
    </row>
    <row r="274" spans="1:95" ht="31.5" hidden="1" outlineLevel="1" x14ac:dyDescent="0.25">
      <c r="A274" s="56"/>
      <c r="B274" s="110" t="s">
        <v>169</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row>
    <row r="275" spans="1:95" hidden="1" outlineLevel="1" x14ac:dyDescent="0.25"/>
    <row r="276" spans="1:95" hidden="1" outlineLevel="1" x14ac:dyDescent="0.25">
      <c r="B276" t="s">
        <v>72</v>
      </c>
      <c r="D276" s="67">
        <f t="shared" ref="D276:BO276" si="175">PM10_benefits_low/Discount_factor</f>
        <v>0</v>
      </c>
      <c r="E276" s="67">
        <f t="shared" si="175"/>
        <v>0</v>
      </c>
      <c r="F276" s="67">
        <f t="shared" si="175"/>
        <v>0</v>
      </c>
      <c r="G276" s="67">
        <f t="shared" si="175"/>
        <v>0</v>
      </c>
      <c r="H276" s="67">
        <f t="shared" si="175"/>
        <v>0</v>
      </c>
      <c r="I276" s="67">
        <f t="shared" si="175"/>
        <v>0</v>
      </c>
      <c r="J276" s="67">
        <f t="shared" si="175"/>
        <v>0</v>
      </c>
      <c r="K276" s="67">
        <f t="shared" si="175"/>
        <v>0</v>
      </c>
      <c r="L276" s="67">
        <f t="shared" si="175"/>
        <v>0</v>
      </c>
      <c r="M276" s="67">
        <f t="shared" si="175"/>
        <v>0</v>
      </c>
      <c r="N276" s="67">
        <f t="shared" si="175"/>
        <v>0</v>
      </c>
      <c r="O276" s="67">
        <f t="shared" si="175"/>
        <v>0</v>
      </c>
      <c r="P276" s="67">
        <f t="shared" si="175"/>
        <v>0</v>
      </c>
      <c r="Q276" s="67">
        <f t="shared" si="175"/>
        <v>0</v>
      </c>
      <c r="R276" s="67">
        <f t="shared" si="175"/>
        <v>0</v>
      </c>
      <c r="S276" s="67">
        <f t="shared" si="175"/>
        <v>0</v>
      </c>
      <c r="T276" s="67">
        <f t="shared" si="175"/>
        <v>-2536.4161920526913</v>
      </c>
      <c r="U276" s="67">
        <f t="shared" si="175"/>
        <v>-2729.6619346282046</v>
      </c>
      <c r="V276" s="67">
        <f t="shared" si="175"/>
        <v>-2915.9399973187692</v>
      </c>
      <c r="W276" s="67">
        <f t="shared" si="175"/>
        <v>-3095.4600863187497</v>
      </c>
      <c r="X276" s="67">
        <f t="shared" si="175"/>
        <v>-3268.5767975104259</v>
      </c>
      <c r="Y276" s="67">
        <f t="shared" si="175"/>
        <v>-3435.1078807675626</v>
      </c>
      <c r="Z276" s="67">
        <f t="shared" si="175"/>
        <v>-3596.0769280297304</v>
      </c>
      <c r="AA276" s="67">
        <f t="shared" si="175"/>
        <v>-3751.5960763684293</v>
      </c>
      <c r="AB276" s="67">
        <f t="shared" si="175"/>
        <v>-3914.5142088972634</v>
      </c>
      <c r="AC276" s="67">
        <f t="shared" si="175"/>
        <v>-4069.0132417423051</v>
      </c>
      <c r="AD276" s="67">
        <f t="shared" si="175"/>
        <v>-4218.8516041907305</v>
      </c>
      <c r="AE276" s="67">
        <f t="shared" si="175"/>
        <v>-4160.9184376741941</v>
      </c>
      <c r="AF276" s="67">
        <f t="shared" si="175"/>
        <v>-4104.3288798672038</v>
      </c>
      <c r="AG276" s="67">
        <f t="shared" si="175"/>
        <v>-4048.5089545586034</v>
      </c>
      <c r="AH276" s="67">
        <f t="shared" si="175"/>
        <v>-3993.448194549047</v>
      </c>
      <c r="AI276" s="67">
        <f t="shared" si="175"/>
        <v>-3939.136274995783</v>
      </c>
      <c r="AJ276" s="67">
        <f t="shared" si="175"/>
        <v>-3886.264573296402</v>
      </c>
      <c r="AK276" s="67">
        <f t="shared" si="175"/>
        <v>-3834.1025238267075</v>
      </c>
      <c r="AL276" s="67">
        <f t="shared" si="175"/>
        <v>-3782.6406015237462</v>
      </c>
      <c r="AM276" s="67">
        <f t="shared" si="175"/>
        <v>-3731.8694091714474</v>
      </c>
      <c r="AN276" s="67">
        <f t="shared" si="175"/>
        <v>-3685.3716558560386</v>
      </c>
      <c r="AO276" s="67">
        <f t="shared" si="175"/>
        <v>-3636.8647067734978</v>
      </c>
      <c r="AP276" s="67">
        <f t="shared" si="175"/>
        <v>-3606.4185189904042</v>
      </c>
      <c r="AQ276" s="67">
        <f t="shared" si="175"/>
        <v>-3576.2272129324401</v>
      </c>
      <c r="AR276" s="67">
        <f t="shared" si="175"/>
        <v>-3546.288654844986</v>
      </c>
      <c r="AS276" s="67">
        <f t="shared" si="175"/>
        <v>-3513.1698988569005</v>
      </c>
      <c r="AT276" s="67">
        <f t="shared" si="175"/>
        <v>-3481.4658147002783</v>
      </c>
      <c r="AU276" s="67">
        <f t="shared" si="175"/>
        <v>-3450.0478393801618</v>
      </c>
      <c r="AV276" s="67">
        <f t="shared" si="175"/>
        <v>-3418.9133909495099</v>
      </c>
      <c r="AW276" s="67">
        <f t="shared" si="175"/>
        <v>-3388.059910761679</v>
      </c>
      <c r="AX276" s="67">
        <f t="shared" si="175"/>
        <v>-3357.4848632601579</v>
      </c>
      <c r="AY276" s="67">
        <f t="shared" si="175"/>
        <v>-3327.967407807801</v>
      </c>
      <c r="AZ276" s="67">
        <f t="shared" si="175"/>
        <v>-3301.9308521373177</v>
      </c>
      <c r="BA276" s="67">
        <f t="shared" si="175"/>
        <v>-3276.0979950456103</v>
      </c>
      <c r="BB276" s="67">
        <f t="shared" si="175"/>
        <v>-3253.6384304384774</v>
      </c>
      <c r="BC276" s="67">
        <f t="shared" si="175"/>
        <v>-3231.3328392604367</v>
      </c>
      <c r="BD276" s="67">
        <f t="shared" si="175"/>
        <v>-3209.3668365668318</v>
      </c>
      <c r="BE276" s="67">
        <f t="shared" si="175"/>
        <v>-3187.4672026456046</v>
      </c>
      <c r="BF276" s="67">
        <f t="shared" si="175"/>
        <v>-3162.6315102636936</v>
      </c>
      <c r="BG276" s="67">
        <f t="shared" si="175"/>
        <v>-3137.9893293995101</v>
      </c>
      <c r="BH276" s="67">
        <f t="shared" si="175"/>
        <v>-3113.5391522751779</v>
      </c>
      <c r="BI276" s="67">
        <f t="shared" si="175"/>
        <v>-3088.8671344537952</v>
      </c>
      <c r="BJ276" s="67">
        <f t="shared" si="175"/>
        <v>-3064.3906203449442</v>
      </c>
      <c r="BK276" s="67">
        <f t="shared" si="175"/>
        <v>-3040.108060756259</v>
      </c>
      <c r="BL276" s="67">
        <f t="shared" si="175"/>
        <v>-3016.0179187713425</v>
      </c>
      <c r="BM276" s="67">
        <f t="shared" si="175"/>
        <v>-2992.1186696524869</v>
      </c>
      <c r="BN276" s="67">
        <f t="shared" si="175"/>
        <v>-2967.9568501307313</v>
      </c>
      <c r="BO276" s="67">
        <f t="shared" si="175"/>
        <v>-2943.9901410263938</v>
      </c>
      <c r="BP276" s="67">
        <f t="shared" ref="BP276:CP276" si="176">PM10_benefits_low/Discount_factor</f>
        <v>-2920.2169667927756</v>
      </c>
      <c r="BQ276" s="67">
        <f t="shared" si="176"/>
        <v>-2896.63576460596</v>
      </c>
      <c r="BR276" s="67">
        <f t="shared" si="176"/>
        <v>-2873.2449842620772</v>
      </c>
      <c r="BS276" s="67">
        <f t="shared" si="176"/>
        <v>-2849.9616727232496</v>
      </c>
      <c r="BT276" s="67">
        <f t="shared" si="176"/>
        <v>-2826.8670372629272</v>
      </c>
      <c r="BU276" s="67">
        <f t="shared" si="176"/>
        <v>-2803.9595489464245</v>
      </c>
      <c r="BV276" s="67">
        <f t="shared" si="176"/>
        <v>-2781.2376912287623</v>
      </c>
      <c r="BW276" s="67">
        <f t="shared" si="176"/>
        <v>-2758.6999598542693</v>
      </c>
      <c r="BX276" s="67">
        <f t="shared" si="176"/>
        <v>-2736.5759778359075</v>
      </c>
      <c r="BY276" s="67">
        <f t="shared" si="176"/>
        <v>-2714.6294238044484</v>
      </c>
      <c r="BZ276" s="67">
        <f t="shared" si="176"/>
        <v>-2692.858874838355</v>
      </c>
      <c r="CA276" s="67">
        <f t="shared" si="176"/>
        <v>-2671.2629194275105</v>
      </c>
      <c r="CB276" s="67">
        <f t="shared" si="176"/>
        <v>0</v>
      </c>
      <c r="CC276" s="67">
        <f t="shared" si="176"/>
        <v>0</v>
      </c>
      <c r="CD276" s="67">
        <f t="shared" si="176"/>
        <v>0</v>
      </c>
      <c r="CE276" s="67">
        <f t="shared" si="176"/>
        <v>0</v>
      </c>
      <c r="CF276" s="67">
        <f t="shared" si="176"/>
        <v>0</v>
      </c>
      <c r="CG276" s="67">
        <f t="shared" si="176"/>
        <v>0</v>
      </c>
      <c r="CH276" s="67">
        <f t="shared" si="176"/>
        <v>0</v>
      </c>
      <c r="CI276" s="67">
        <f t="shared" si="176"/>
        <v>0</v>
      </c>
      <c r="CJ276" s="67">
        <f t="shared" si="176"/>
        <v>0</v>
      </c>
      <c r="CK276" s="67">
        <f t="shared" si="176"/>
        <v>0</v>
      </c>
      <c r="CL276" s="67">
        <f t="shared" si="176"/>
        <v>0</v>
      </c>
      <c r="CM276" s="67">
        <f t="shared" si="176"/>
        <v>0</v>
      </c>
      <c r="CN276" s="67">
        <f t="shared" si="176"/>
        <v>0</v>
      </c>
      <c r="CO276" s="67">
        <f t="shared" si="176"/>
        <v>0</v>
      </c>
      <c r="CP276" s="67">
        <f t="shared" si="176"/>
        <v>0</v>
      </c>
      <c r="CQ276" s="52" t="s">
        <v>183</v>
      </c>
    </row>
    <row r="277" spans="1:95" hidden="1" outlineLevel="1" x14ac:dyDescent="0.25">
      <c r="B277" t="s">
        <v>73</v>
      </c>
      <c r="D277" s="67">
        <f t="shared" ref="D277:BO277" si="177">PM10_benefits_central/Discount_factor</f>
        <v>0</v>
      </c>
      <c r="E277" s="67">
        <f t="shared" si="177"/>
        <v>0</v>
      </c>
      <c r="F277" s="67">
        <f t="shared" si="177"/>
        <v>0</v>
      </c>
      <c r="G277" s="67">
        <f t="shared" si="177"/>
        <v>0</v>
      </c>
      <c r="H277" s="67">
        <f t="shared" si="177"/>
        <v>0</v>
      </c>
      <c r="I277" s="67">
        <f t="shared" si="177"/>
        <v>0</v>
      </c>
      <c r="J277" s="67">
        <f t="shared" si="177"/>
        <v>0</v>
      </c>
      <c r="K277" s="67">
        <f t="shared" si="177"/>
        <v>0</v>
      </c>
      <c r="L277" s="67">
        <f t="shared" si="177"/>
        <v>0</v>
      </c>
      <c r="M277" s="67">
        <f t="shared" si="177"/>
        <v>0</v>
      </c>
      <c r="N277" s="67">
        <f t="shared" si="177"/>
        <v>0</v>
      </c>
      <c r="O277" s="67">
        <f t="shared" si="177"/>
        <v>0</v>
      </c>
      <c r="P277" s="67">
        <f t="shared" si="177"/>
        <v>0</v>
      </c>
      <c r="Q277" s="67">
        <f t="shared" si="177"/>
        <v>0</v>
      </c>
      <c r="R277" s="67">
        <f t="shared" si="177"/>
        <v>0</v>
      </c>
      <c r="S277" s="67">
        <f t="shared" si="177"/>
        <v>0</v>
      </c>
      <c r="T277" s="67">
        <f t="shared" si="177"/>
        <v>-4840.0187142853574</v>
      </c>
      <c r="U277" s="67">
        <f t="shared" si="177"/>
        <v>-5208.7724753802668</v>
      </c>
      <c r="V277" s="67">
        <f t="shared" si="177"/>
        <v>-5564.230429129374</v>
      </c>
      <c r="W277" s="67">
        <f t="shared" si="177"/>
        <v>-5906.7927393182645</v>
      </c>
      <c r="X277" s="67">
        <f t="shared" si="177"/>
        <v>-6237.1360499108177</v>
      </c>
      <c r="Y277" s="67">
        <f t="shared" si="177"/>
        <v>-6554.9125891082194</v>
      </c>
      <c r="Z277" s="67">
        <f t="shared" si="177"/>
        <v>-6862.075586888589</v>
      </c>
      <c r="AA277" s="67">
        <f t="shared" si="177"/>
        <v>-7158.839024508763</v>
      </c>
      <c r="AB277" s="67">
        <f t="shared" si="177"/>
        <v>-7469.7212893384303</v>
      </c>
      <c r="AC277" s="67">
        <f t="shared" si="177"/>
        <v>-7764.5381307747784</v>
      </c>
      <c r="AD277" s="67">
        <f t="shared" si="177"/>
        <v>-8050.4614270542188</v>
      </c>
      <c r="AE277" s="67">
        <f t="shared" si="177"/>
        <v>-7939.9126886427521</v>
      </c>
      <c r="AF277" s="67">
        <f t="shared" si="177"/>
        <v>-7831.9278399112382</v>
      </c>
      <c r="AG277" s="67">
        <f t="shared" si="177"/>
        <v>-7725.4116128148526</v>
      </c>
      <c r="AH277" s="67">
        <f t="shared" si="177"/>
        <v>-7620.344033722733</v>
      </c>
      <c r="AI277" s="67">
        <f t="shared" si="177"/>
        <v>-7516.7054006505232</v>
      </c>
      <c r="AJ277" s="67">
        <f t="shared" si="177"/>
        <v>-7415.8150079448933</v>
      </c>
      <c r="AK277" s="67">
        <f t="shared" si="177"/>
        <v>-7316.2787818319048</v>
      </c>
      <c r="AL277" s="67">
        <f t="shared" si="177"/>
        <v>-7218.0785464762657</v>
      </c>
      <c r="AM277" s="67">
        <f t="shared" si="177"/>
        <v>-7121.1963700015749</v>
      </c>
      <c r="AN277" s="67">
        <f t="shared" si="177"/>
        <v>-7032.4688193243846</v>
      </c>
      <c r="AO277" s="67">
        <f t="shared" si="177"/>
        <v>-6939.9072980456631</v>
      </c>
      <c r="AP277" s="67">
        <f t="shared" si="177"/>
        <v>-6881.8095303723048</v>
      </c>
      <c r="AQ277" s="67">
        <f t="shared" si="177"/>
        <v>-6824.1981309548419</v>
      </c>
      <c r="AR277" s="67">
        <f t="shared" si="177"/>
        <v>-6767.069028138033</v>
      </c>
      <c r="AS277" s="67">
        <f t="shared" si="177"/>
        <v>-6703.8714349045422</v>
      </c>
      <c r="AT277" s="67">
        <f t="shared" si="177"/>
        <v>-6643.3733348221813</v>
      </c>
      <c r="AU277" s="67">
        <f t="shared" si="177"/>
        <v>-6583.4211909308206</v>
      </c>
      <c r="AV277" s="67">
        <f t="shared" si="177"/>
        <v>-6524.0100763292558</v>
      </c>
      <c r="AW277" s="67">
        <f t="shared" si="177"/>
        <v>-6465.1351085783663</v>
      </c>
      <c r="AX277" s="67">
        <f t="shared" si="177"/>
        <v>-6406.7914492998943</v>
      </c>
      <c r="AY277" s="67">
        <f t="shared" si="177"/>
        <v>-6350.4658994019201</v>
      </c>
      <c r="AZ277" s="67">
        <f t="shared" si="177"/>
        <v>-6300.7826427283826</v>
      </c>
      <c r="BA277" s="67">
        <f t="shared" si="177"/>
        <v>-6251.4880860388766</v>
      </c>
      <c r="BB277" s="67">
        <f t="shared" si="177"/>
        <v>-6208.6304850844936</v>
      </c>
      <c r="BC277" s="67">
        <f t="shared" si="177"/>
        <v>-6166.0666980083906</v>
      </c>
      <c r="BD277" s="67">
        <f t="shared" si="177"/>
        <v>-6124.1509176060217</v>
      </c>
      <c r="BE277" s="67">
        <f t="shared" si="177"/>
        <v>-6082.3617828627375</v>
      </c>
      <c r="BF277" s="67">
        <f t="shared" si="177"/>
        <v>-6034.9700274058387</v>
      </c>
      <c r="BG277" s="67">
        <f t="shared" si="177"/>
        <v>-5987.9475328652525</v>
      </c>
      <c r="BH277" s="67">
        <f t="shared" si="177"/>
        <v>-5941.2914220817975</v>
      </c>
      <c r="BI277" s="67">
        <f t="shared" si="177"/>
        <v>-5894.2119923143837</v>
      </c>
      <c r="BJ277" s="67">
        <f t="shared" si="177"/>
        <v>-5847.505624992451</v>
      </c>
      <c r="BK277" s="67">
        <f t="shared" si="177"/>
        <v>-5801.1693639292098</v>
      </c>
      <c r="BL277" s="67">
        <f t="shared" si="177"/>
        <v>-5755.2002763630144</v>
      </c>
      <c r="BM277" s="67">
        <f t="shared" si="177"/>
        <v>-5709.5954527717358</v>
      </c>
      <c r="BN277" s="67">
        <f t="shared" si="177"/>
        <v>-5663.4895893007069</v>
      </c>
      <c r="BO277" s="67">
        <f t="shared" si="177"/>
        <v>-5617.7560377848777</v>
      </c>
      <c r="BP277" s="67">
        <f t="shared" ref="BP277:CP277" si="178">PM10_benefits_central/Discount_factor</f>
        <v>-5572.3917917478102</v>
      </c>
      <c r="BQ277" s="67">
        <f t="shared" si="178"/>
        <v>-5527.3938689908346</v>
      </c>
      <c r="BR277" s="67">
        <f t="shared" si="178"/>
        <v>-5482.7593113969906</v>
      </c>
      <c r="BS277" s="67">
        <f t="shared" si="178"/>
        <v>-5438.3298270199566</v>
      </c>
      <c r="BT277" s="67">
        <f t="shared" si="178"/>
        <v>-5394.2603765181839</v>
      </c>
      <c r="BU277" s="67">
        <f t="shared" si="178"/>
        <v>-5350.5480423608242</v>
      </c>
      <c r="BV277" s="67">
        <f t="shared" si="178"/>
        <v>-5307.1899306592068</v>
      </c>
      <c r="BW277" s="67">
        <f t="shared" si="178"/>
        <v>-5264.1831709752596</v>
      </c>
      <c r="BX277" s="67">
        <f t="shared" si="178"/>
        <v>-5221.9659325981747</v>
      </c>
      <c r="BY277" s="67">
        <f t="shared" si="178"/>
        <v>-5180.0872643578605</v>
      </c>
      <c r="BZ277" s="67">
        <f t="shared" si="178"/>
        <v>-5138.5444510189809</v>
      </c>
      <c r="CA277" s="67">
        <f t="shared" si="178"/>
        <v>-5097.3347991216051</v>
      </c>
      <c r="CB277" s="67">
        <f t="shared" si="178"/>
        <v>0</v>
      </c>
      <c r="CC277" s="67">
        <f t="shared" si="178"/>
        <v>0</v>
      </c>
      <c r="CD277" s="67">
        <f t="shared" si="178"/>
        <v>0</v>
      </c>
      <c r="CE277" s="67">
        <f t="shared" si="178"/>
        <v>0</v>
      </c>
      <c r="CF277" s="67">
        <f t="shared" si="178"/>
        <v>0</v>
      </c>
      <c r="CG277" s="67">
        <f t="shared" si="178"/>
        <v>0</v>
      </c>
      <c r="CH277" s="67">
        <f t="shared" si="178"/>
        <v>0</v>
      </c>
      <c r="CI277" s="67">
        <f t="shared" si="178"/>
        <v>0</v>
      </c>
      <c r="CJ277" s="67">
        <f t="shared" si="178"/>
        <v>0</v>
      </c>
      <c r="CK277" s="67">
        <f t="shared" si="178"/>
        <v>0</v>
      </c>
      <c r="CL277" s="67">
        <f t="shared" si="178"/>
        <v>0</v>
      </c>
      <c r="CM277" s="67">
        <f t="shared" si="178"/>
        <v>0</v>
      </c>
      <c r="CN277" s="67">
        <f t="shared" si="178"/>
        <v>0</v>
      </c>
      <c r="CO277" s="67">
        <f t="shared" si="178"/>
        <v>0</v>
      </c>
      <c r="CP277" s="67">
        <f t="shared" si="178"/>
        <v>0</v>
      </c>
      <c r="CQ277" s="52" t="s">
        <v>184</v>
      </c>
    </row>
    <row r="278" spans="1:95" hidden="1" outlineLevel="1" x14ac:dyDescent="0.25">
      <c r="B278" t="s">
        <v>74</v>
      </c>
      <c r="D278" s="67">
        <f t="shared" ref="D278:BO278" si="179">PM10_benefits_high/Discount_factor</f>
        <v>0</v>
      </c>
      <c r="E278" s="67">
        <f t="shared" si="179"/>
        <v>0</v>
      </c>
      <c r="F278" s="67">
        <f t="shared" si="179"/>
        <v>0</v>
      </c>
      <c r="G278" s="67">
        <f t="shared" si="179"/>
        <v>0</v>
      </c>
      <c r="H278" s="67">
        <f t="shared" si="179"/>
        <v>0</v>
      </c>
      <c r="I278" s="67">
        <f t="shared" si="179"/>
        <v>0</v>
      </c>
      <c r="J278" s="67">
        <f t="shared" si="179"/>
        <v>0</v>
      </c>
      <c r="K278" s="67">
        <f t="shared" si="179"/>
        <v>0</v>
      </c>
      <c r="L278" s="67">
        <f t="shared" si="179"/>
        <v>0</v>
      </c>
      <c r="M278" s="67">
        <f t="shared" si="179"/>
        <v>0</v>
      </c>
      <c r="N278" s="67">
        <f t="shared" si="179"/>
        <v>0</v>
      </c>
      <c r="O278" s="67">
        <f t="shared" si="179"/>
        <v>0</v>
      </c>
      <c r="P278" s="67">
        <f t="shared" si="179"/>
        <v>0</v>
      </c>
      <c r="Q278" s="67">
        <f t="shared" si="179"/>
        <v>0</v>
      </c>
      <c r="R278" s="67">
        <f t="shared" si="179"/>
        <v>0</v>
      </c>
      <c r="S278" s="67">
        <f t="shared" si="179"/>
        <v>0</v>
      </c>
      <c r="T278" s="67">
        <f t="shared" si="179"/>
        <v>-5499.831446690092</v>
      </c>
      <c r="U278" s="67">
        <f t="shared" si="179"/>
        <v>-5918.8553495045826</v>
      </c>
      <c r="V278" s="67">
        <f t="shared" si="179"/>
        <v>-6322.7709017803154</v>
      </c>
      <c r="W278" s="67">
        <f t="shared" si="179"/>
        <v>-6712.0328193978903</v>
      </c>
      <c r="X278" s="67">
        <f t="shared" si="179"/>
        <v>-7087.4099894154842</v>
      </c>
      <c r="Y278" s="67">
        <f t="shared" si="179"/>
        <v>-7448.5072302463541</v>
      </c>
      <c r="Z278" s="67">
        <f t="shared" si="179"/>
        <v>-7797.544044807827</v>
      </c>
      <c r="AA278" s="67">
        <f t="shared" si="179"/>
        <v>-8134.7635852269559</v>
      </c>
      <c r="AB278" s="67">
        <f t="shared" si="179"/>
        <v>-8488.0266937521246</v>
      </c>
      <c r="AC278" s="67">
        <f t="shared" si="179"/>
        <v>-8823.034269396363</v>
      </c>
      <c r="AD278" s="67">
        <f t="shared" si="179"/>
        <v>-9147.9358925197648</v>
      </c>
      <c r="AE278" s="67">
        <f t="shared" si="179"/>
        <v>-9022.3166617277857</v>
      </c>
      <c r="AF278" s="67">
        <f t="shared" si="179"/>
        <v>-8899.6108413831753</v>
      </c>
      <c r="AG278" s="67">
        <f t="shared" si="179"/>
        <v>-8778.5738516627789</v>
      </c>
      <c r="AH278" s="67">
        <f t="shared" si="179"/>
        <v>-8659.1829960421401</v>
      </c>
      <c r="AI278" s="67">
        <f t="shared" si="179"/>
        <v>-8541.4158866753569</v>
      </c>
      <c r="AJ278" s="67">
        <f t="shared" si="179"/>
        <v>-8426.7716699425582</v>
      </c>
      <c r="AK278" s="67">
        <f t="shared" si="179"/>
        <v>-8313.6662257744774</v>
      </c>
      <c r="AL278" s="67">
        <f t="shared" si="179"/>
        <v>-8202.0789005256611</v>
      </c>
      <c r="AM278" s="67">
        <f t="shared" si="179"/>
        <v>-8091.9893177671056</v>
      </c>
      <c r="AN278" s="67">
        <f t="shared" si="179"/>
        <v>-7991.1660354186488</v>
      </c>
      <c r="AO278" s="67">
        <f t="shared" si="179"/>
        <v>-7885.986118659308</v>
      </c>
      <c r="AP278" s="67">
        <f t="shared" si="179"/>
        <v>-7819.9682066439391</v>
      </c>
      <c r="AQ278" s="67">
        <f t="shared" si="179"/>
        <v>-7754.5029667536919</v>
      </c>
      <c r="AR278" s="67">
        <f t="shared" si="179"/>
        <v>-7689.5857722672908</v>
      </c>
      <c r="AS278" s="67">
        <f t="shared" si="179"/>
        <v>-7617.7728039424364</v>
      </c>
      <c r="AT278" s="67">
        <f t="shared" si="179"/>
        <v>-7549.0273356003563</v>
      </c>
      <c r="AU278" s="67">
        <f t="shared" si="179"/>
        <v>-7480.9022506090514</v>
      </c>
      <c r="AV278" s="67">
        <f t="shared" si="179"/>
        <v>-7413.3919504103787</v>
      </c>
      <c r="AW278" s="67">
        <f t="shared" si="179"/>
        <v>-7346.490886969551</v>
      </c>
      <c r="AX278" s="67">
        <f t="shared" si="179"/>
        <v>-7280.1935623192048</v>
      </c>
      <c r="AY278" s="67">
        <f t="shared" si="179"/>
        <v>-7216.189464635313</v>
      </c>
      <c r="AZ278" s="67">
        <f t="shared" si="179"/>
        <v>-7159.7331669312152</v>
      </c>
      <c r="BA278" s="67">
        <f t="shared" si="179"/>
        <v>-7103.7185585100951</v>
      </c>
      <c r="BB278" s="67">
        <f t="shared" si="179"/>
        <v>-7055.018420065815</v>
      </c>
      <c r="BC278" s="67">
        <f t="shared" si="179"/>
        <v>-7006.6521495056495</v>
      </c>
      <c r="BD278" s="67">
        <f t="shared" si="179"/>
        <v>-6959.0222247516231</v>
      </c>
      <c r="BE278" s="67">
        <f t="shared" si="179"/>
        <v>-6911.5362105523946</v>
      </c>
      <c r="BF278" s="67">
        <f t="shared" si="179"/>
        <v>-6857.683801633726</v>
      </c>
      <c r="BG278" s="67">
        <f t="shared" si="179"/>
        <v>-6804.2509929107309</v>
      </c>
      <c r="BH278" s="67">
        <f t="shared" si="179"/>
        <v>-6751.2345149971752</v>
      </c>
      <c r="BI278" s="67">
        <f t="shared" si="179"/>
        <v>-6697.7370093857144</v>
      </c>
      <c r="BJ278" s="67">
        <f t="shared" si="179"/>
        <v>-6644.6634237403423</v>
      </c>
      <c r="BK278" s="67">
        <f t="shared" si="179"/>
        <v>-6592.0103988738301</v>
      </c>
      <c r="BL278" s="67">
        <f t="shared" si="179"/>
        <v>-6539.7746022175061</v>
      </c>
      <c r="BM278" s="67">
        <f t="shared" si="179"/>
        <v>-6487.9527276103327</v>
      </c>
      <c r="BN278" s="67">
        <f t="shared" si="179"/>
        <v>-6435.5615091536074</v>
      </c>
      <c r="BO278" s="67">
        <f t="shared" si="179"/>
        <v>-6383.59335786254</v>
      </c>
      <c r="BP278" s="67">
        <f t="shared" ref="BP278:CP278" si="180">PM10_benefits_high/Discount_factor</f>
        <v>-6332.044857404544</v>
      </c>
      <c r="BQ278" s="67">
        <f t="shared" si="180"/>
        <v>-6280.9126190344505</v>
      </c>
      <c r="BR278" s="67">
        <f t="shared" si="180"/>
        <v>-6230.1932813717303</v>
      </c>
      <c r="BS278" s="67">
        <f t="shared" si="180"/>
        <v>-6179.706973412668</v>
      </c>
      <c r="BT278" s="67">
        <f t="shared" si="180"/>
        <v>-6129.6297807372284</v>
      </c>
      <c r="BU278" s="67">
        <f t="shared" si="180"/>
        <v>-6079.95838808387</v>
      </c>
      <c r="BV278" s="67">
        <f t="shared" si="180"/>
        <v>-6030.6895070562341</v>
      </c>
      <c r="BW278" s="67">
        <f t="shared" si="180"/>
        <v>-5981.8198759054494</v>
      </c>
      <c r="BX278" s="67">
        <f t="shared" si="180"/>
        <v>-5933.8473970938694</v>
      </c>
      <c r="BY278" s="67">
        <f t="shared" si="180"/>
        <v>-5886.2596437957745</v>
      </c>
      <c r="BZ278" s="67">
        <f t="shared" si="180"/>
        <v>-5839.0535306229485</v>
      </c>
      <c r="CA278" s="67">
        <f t="shared" si="180"/>
        <v>-5792.2259969311081</v>
      </c>
      <c r="CB278" s="67">
        <f t="shared" si="180"/>
        <v>0</v>
      </c>
      <c r="CC278" s="67">
        <f t="shared" si="180"/>
        <v>0</v>
      </c>
      <c r="CD278" s="67">
        <f t="shared" si="180"/>
        <v>0</v>
      </c>
      <c r="CE278" s="67">
        <f t="shared" si="180"/>
        <v>0</v>
      </c>
      <c r="CF278" s="67">
        <f t="shared" si="180"/>
        <v>0</v>
      </c>
      <c r="CG278" s="67">
        <f t="shared" si="180"/>
        <v>0</v>
      </c>
      <c r="CH278" s="67">
        <f t="shared" si="180"/>
        <v>0</v>
      </c>
      <c r="CI278" s="67">
        <f t="shared" si="180"/>
        <v>0</v>
      </c>
      <c r="CJ278" s="67">
        <f t="shared" si="180"/>
        <v>0</v>
      </c>
      <c r="CK278" s="67">
        <f t="shared" si="180"/>
        <v>0</v>
      </c>
      <c r="CL278" s="67">
        <f t="shared" si="180"/>
        <v>0</v>
      </c>
      <c r="CM278" s="67">
        <f t="shared" si="180"/>
        <v>0</v>
      </c>
      <c r="CN278" s="67">
        <f t="shared" si="180"/>
        <v>0</v>
      </c>
      <c r="CO278" s="67">
        <f t="shared" si="180"/>
        <v>0</v>
      </c>
      <c r="CP278" s="67">
        <f t="shared" si="180"/>
        <v>0</v>
      </c>
      <c r="CQ278" s="52" t="s">
        <v>185</v>
      </c>
    </row>
    <row r="279" spans="1:95" hidden="1" outlineLevel="1" x14ac:dyDescent="0.25">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4"/>
      <c r="CP279" s="54"/>
      <c r="CQ279" s="52"/>
    </row>
    <row r="280" spans="1:95" ht="15.75" hidden="1" outlineLevel="1" x14ac:dyDescent="0.25">
      <c r="A280" s="56"/>
      <c r="B280" s="56" t="s">
        <v>186</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row>
    <row r="281" spans="1:95" hidden="1" outlineLevel="1" x14ac:dyDescent="0.25">
      <c r="B281" s="52" t="s">
        <v>358</v>
      </c>
    </row>
    <row r="282" spans="1:95" hidden="1" outlineLevel="1" x14ac:dyDescent="0.25">
      <c r="B282" t="s">
        <v>72</v>
      </c>
      <c r="D282" s="67">
        <f>SUM(NOx_benefits_not_in_exceedance_discounted_low)</f>
        <v>-34061.846497481572</v>
      </c>
      <c r="E282" s="100" t="s">
        <v>255</v>
      </c>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52"/>
    </row>
    <row r="283" spans="1:95" hidden="1" outlineLevel="1" x14ac:dyDescent="0.25">
      <c r="B283" t="s">
        <v>73</v>
      </c>
      <c r="D283" s="67">
        <f>SUM(NOx_benefits_not_in_exceedance_discounted_central)</f>
        <v>-43721.859415450141</v>
      </c>
      <c r="E283" s="100" t="s">
        <v>256</v>
      </c>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52"/>
    </row>
    <row r="284" spans="1:95" hidden="1" outlineLevel="1" x14ac:dyDescent="0.25">
      <c r="B284" t="s">
        <v>74</v>
      </c>
      <c r="D284" s="67">
        <f>SUM(NOx_benefits_not_in_exceedance_discounted_high)</f>
        <v>-49673.526142160626</v>
      </c>
      <c r="E284" s="100" t="s">
        <v>257</v>
      </c>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52"/>
    </row>
    <row r="285" spans="1:95" hidden="1" outlineLevel="1" x14ac:dyDescent="0.25">
      <c r="E285" s="9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2"/>
    </row>
    <row r="286" spans="1:95" ht="15.75" hidden="1" outlineLevel="1" x14ac:dyDescent="0.25">
      <c r="A286" s="56"/>
      <c r="B286" s="56" t="s">
        <v>188</v>
      </c>
      <c r="C286" s="56"/>
      <c r="D286" s="56"/>
      <c r="E286" s="101"/>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row>
    <row r="287" spans="1:95" hidden="1" outlineLevel="1" x14ac:dyDescent="0.25">
      <c r="E287" s="52"/>
    </row>
    <row r="288" spans="1:95" hidden="1" outlineLevel="1" x14ac:dyDescent="0.25">
      <c r="B288" t="s">
        <v>72</v>
      </c>
      <c r="D288" s="67">
        <f>SUM(NOx_benefits_in_exceedance_discounted_low)</f>
        <v>0</v>
      </c>
      <c r="E288" s="100" t="s">
        <v>258</v>
      </c>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52"/>
    </row>
    <row r="289" spans="1:95" hidden="1" outlineLevel="1" x14ac:dyDescent="0.25">
      <c r="B289" t="s">
        <v>73</v>
      </c>
      <c r="D289" s="67">
        <f>SUM(NOx_benefits_in_exceedance_discounted_central)</f>
        <v>0</v>
      </c>
      <c r="E289" s="100" t="s">
        <v>259</v>
      </c>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52"/>
    </row>
    <row r="290" spans="1:95" hidden="1" outlineLevel="1" x14ac:dyDescent="0.25">
      <c r="B290" t="s">
        <v>74</v>
      </c>
      <c r="D290" s="67">
        <f>SUM(NOx_benefits_in_exceedance_discounted_high)</f>
        <v>0</v>
      </c>
      <c r="E290" s="100" t="s">
        <v>260</v>
      </c>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52"/>
    </row>
    <row r="291" spans="1:95" hidden="1" outlineLevel="1" x14ac:dyDescent="0.25">
      <c r="D291" s="67"/>
      <c r="E291" s="100"/>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52"/>
    </row>
    <row r="292" spans="1:95" ht="15.75" hidden="1" outlineLevel="1" x14ac:dyDescent="0.25">
      <c r="A292" s="84"/>
      <c r="B292" s="86" t="s">
        <v>254</v>
      </c>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c r="CB292" s="84"/>
      <c r="CC292" s="84"/>
      <c r="CD292" s="84"/>
      <c r="CE292" s="84"/>
      <c r="CF292" s="84"/>
      <c r="CG292" s="84"/>
      <c r="CH292" s="84"/>
      <c r="CI292" s="84"/>
      <c r="CJ292" s="84"/>
      <c r="CK292" s="84"/>
      <c r="CL292" s="84"/>
      <c r="CM292" s="84"/>
      <c r="CN292" s="84"/>
      <c r="CO292" s="84"/>
      <c r="CP292" s="84"/>
      <c r="CQ292" s="84"/>
    </row>
    <row r="293" spans="1:95" hidden="1" outlineLevel="1" x14ac:dyDescent="0.25"/>
    <row r="294" spans="1:95" hidden="1" outlineLevel="1" x14ac:dyDescent="0.25">
      <c r="B294" t="s">
        <v>72</v>
      </c>
      <c r="D294" s="67">
        <f>NOx_damage_NPV_low+NOx_abatement_NPV_low</f>
        <v>-34061.846497481572</v>
      </c>
      <c r="E294" s="52" t="s">
        <v>261</v>
      </c>
    </row>
    <row r="295" spans="1:95" hidden="1" outlineLevel="1" x14ac:dyDescent="0.25">
      <c r="B295" t="s">
        <v>73</v>
      </c>
      <c r="D295" s="67">
        <f>NOx_damage_NPV_central+NOx_abatement_NPV_central</f>
        <v>-43721.859415450141</v>
      </c>
      <c r="E295" s="52" t="s">
        <v>262</v>
      </c>
    </row>
    <row r="296" spans="1:95" hidden="1" outlineLevel="1" x14ac:dyDescent="0.25">
      <c r="B296" t="s">
        <v>74</v>
      </c>
      <c r="D296" s="67">
        <f>NOx_damage_NPV_high+NOx_abatement_NPV_high</f>
        <v>-49673.526142160626</v>
      </c>
      <c r="E296" s="52" t="s">
        <v>263</v>
      </c>
    </row>
    <row r="297" spans="1:95" hidden="1" outlineLevel="1" x14ac:dyDescent="0.25">
      <c r="D297" s="67"/>
      <c r="E297" s="100"/>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52"/>
    </row>
    <row r="298" spans="1:95" ht="15.75" hidden="1" outlineLevel="1" x14ac:dyDescent="0.25">
      <c r="A298" s="56"/>
      <c r="B298" s="56" t="s">
        <v>187</v>
      </c>
      <c r="C298" s="56"/>
      <c r="D298" s="56"/>
      <c r="E298" s="101"/>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row>
    <row r="299" spans="1:95" hidden="1" outlineLevel="1" x14ac:dyDescent="0.25">
      <c r="E299" s="52"/>
    </row>
    <row r="300" spans="1:95" hidden="1" outlineLevel="1" x14ac:dyDescent="0.25">
      <c r="B300" t="s">
        <v>72</v>
      </c>
      <c r="D300" s="67">
        <f>SUM(PM10_benefits_discounted_low)</f>
        <v>-198514.30703715305</v>
      </c>
      <c r="E300" s="100" t="s">
        <v>189</v>
      </c>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2"/>
    </row>
    <row r="301" spans="1:95" hidden="1" outlineLevel="1" x14ac:dyDescent="0.25">
      <c r="B301" t="s">
        <v>73</v>
      </c>
      <c r="D301" s="67">
        <f>SUM(PM10_benefits_discounted_central)</f>
        <v>-378807.29673769977</v>
      </c>
      <c r="E301" s="100" t="s">
        <v>190</v>
      </c>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2"/>
    </row>
    <row r="302" spans="1:95" hidden="1" outlineLevel="1" x14ac:dyDescent="0.25">
      <c r="B302" t="s">
        <v>74</v>
      </c>
      <c r="D302" s="67">
        <f>SUM(PM10_benefits_discounted_high)</f>
        <v>-430447.98084862012</v>
      </c>
      <c r="E302" s="100" t="s">
        <v>191</v>
      </c>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2"/>
    </row>
    <row r="303" spans="1:95" hidden="1" outlineLevel="1" x14ac:dyDescent="0.25">
      <c r="E303" s="52"/>
    </row>
    <row r="304" spans="1:95" ht="15.75" hidden="1" outlineLevel="1" x14ac:dyDescent="0.25">
      <c r="A304" s="84"/>
      <c r="B304" s="86" t="s">
        <v>253</v>
      </c>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row>
    <row r="305" spans="2:5" hidden="1" outlineLevel="1" x14ac:dyDescent="0.25"/>
    <row r="306" spans="2:5" hidden="1" outlineLevel="1" x14ac:dyDescent="0.25">
      <c r="B306" t="s">
        <v>72</v>
      </c>
      <c r="D306" s="118">
        <f>NOx_NPV_low+PM10_damage_NPV_low</f>
        <v>-232576.15353463462</v>
      </c>
      <c r="E306" s="52" t="s">
        <v>69</v>
      </c>
    </row>
    <row r="307" spans="2:5" hidden="1" outlineLevel="1" x14ac:dyDescent="0.25">
      <c r="B307" t="s">
        <v>73</v>
      </c>
      <c r="D307" s="118">
        <f>NOx_NPV_central+PM10_damage_NPV_central</f>
        <v>-422529.1561531499</v>
      </c>
      <c r="E307" s="52" t="s">
        <v>70</v>
      </c>
    </row>
    <row r="308" spans="2:5" hidden="1" outlineLevel="1" x14ac:dyDescent="0.25">
      <c r="B308" t="s">
        <v>74</v>
      </c>
      <c r="D308" s="118">
        <f>NOx_NPV_high+PM10_damage_NPV_high</f>
        <v>-480121.50699078076</v>
      </c>
      <c r="E308" s="52" t="s">
        <v>71</v>
      </c>
    </row>
    <row r="309" spans="2:5" hidden="1" outlineLevel="1" x14ac:dyDescent="0.25">
      <c r="D309" s="118"/>
      <c r="E309" s="52"/>
    </row>
    <row r="310" spans="2:5" collapsed="1" x14ac:dyDescent="0.25"/>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E17" sqref="E17"/>
    </sheetView>
  </sheetViews>
  <sheetFormatPr defaultColWidth="0" defaultRowHeight="15" zeroHeight="1" x14ac:dyDescent="0.2"/>
  <cols>
    <col min="1" max="1" width="6.5703125" style="154" customWidth="1"/>
    <col min="2" max="2" width="2.85546875" style="154" customWidth="1"/>
    <col min="3" max="3" width="18.85546875" style="154" customWidth="1"/>
    <col min="4" max="4" width="15.42578125" style="154" customWidth="1"/>
    <col min="5" max="5" width="14.7109375" style="154" bestFit="1" customWidth="1"/>
    <col min="6" max="6" width="15.140625" style="154" customWidth="1"/>
    <col min="7" max="10" width="16.28515625" style="154" customWidth="1"/>
    <col min="11" max="11" width="2.85546875" style="154" customWidth="1"/>
    <col min="12" max="12" width="9.140625" style="154" customWidth="1"/>
    <col min="13" max="16384" width="9.140625" style="154" hidden="1"/>
  </cols>
  <sheetData>
    <row r="1" spans="2:11" ht="15.75" thickBot="1" x14ac:dyDescent="0.25"/>
    <row r="2" spans="2:11" ht="15" customHeight="1" x14ac:dyDescent="0.2">
      <c r="B2" s="155"/>
      <c r="C2" s="156"/>
      <c r="D2" s="156"/>
      <c r="E2" s="156"/>
      <c r="F2" s="156"/>
      <c r="G2" s="156"/>
      <c r="H2" s="156"/>
      <c r="I2" s="156"/>
      <c r="J2" s="156"/>
      <c r="K2" s="157"/>
    </row>
    <row r="3" spans="2:11" ht="26.25" customHeight="1" x14ac:dyDescent="0.4">
      <c r="B3" s="177"/>
      <c r="C3" s="178" t="s">
        <v>363</v>
      </c>
      <c r="D3" s="178"/>
      <c r="E3" s="178"/>
      <c r="F3" s="178"/>
      <c r="G3" s="178"/>
      <c r="H3" s="178"/>
      <c r="I3" s="178"/>
      <c r="J3" s="178"/>
      <c r="K3" s="179"/>
    </row>
    <row r="4" spans="2:11" x14ac:dyDescent="0.2">
      <c r="B4" s="158"/>
      <c r="C4" s="160"/>
      <c r="D4" s="160"/>
      <c r="E4" s="160"/>
      <c r="F4" s="160"/>
      <c r="G4" s="160"/>
      <c r="H4" s="160"/>
      <c r="I4" s="160"/>
      <c r="J4" s="160"/>
      <c r="K4" s="161"/>
    </row>
    <row r="5" spans="2:11" ht="18" x14ac:dyDescent="0.25">
      <c r="B5" s="158"/>
      <c r="C5" s="176" t="s">
        <v>353</v>
      </c>
      <c r="D5" s="159"/>
      <c r="E5" s="160"/>
      <c r="F5" s="160"/>
      <c r="G5" s="160"/>
      <c r="H5" s="160"/>
      <c r="I5" s="160"/>
      <c r="J5" s="160"/>
      <c r="K5" s="161"/>
    </row>
    <row r="6" spans="2:11" ht="15.75" x14ac:dyDescent="0.25">
      <c r="B6" s="158"/>
      <c r="C6" s="159"/>
      <c r="D6" s="159"/>
      <c r="E6" s="160"/>
      <c r="F6" s="160"/>
      <c r="G6" s="160"/>
      <c r="H6" s="160"/>
      <c r="I6" s="160"/>
      <c r="J6" s="160"/>
      <c r="K6" s="161"/>
    </row>
    <row r="7" spans="2:11" ht="15.75" x14ac:dyDescent="0.25">
      <c r="B7" s="158"/>
      <c r="C7" s="159" t="s">
        <v>359</v>
      </c>
      <c r="D7" s="204" t="str">
        <f>Scheme_name</f>
        <v>Warrington Western Link - Pink Route</v>
      </c>
      <c r="E7" s="204"/>
      <c r="F7" s="160"/>
      <c r="G7" s="159" t="s">
        <v>354</v>
      </c>
      <c r="H7" s="162">
        <f>Opening_year</f>
        <v>2026</v>
      </c>
      <c r="I7" s="171" t="s">
        <v>355</v>
      </c>
      <c r="J7" s="162">
        <f>Forecast_year</f>
        <v>2036</v>
      </c>
      <c r="K7" s="161"/>
    </row>
    <row r="8" spans="2:11" ht="15.75" thickBot="1" x14ac:dyDescent="0.25">
      <c r="B8" s="158"/>
      <c r="C8" s="160"/>
      <c r="D8" s="160"/>
      <c r="E8" s="160"/>
      <c r="F8" s="160"/>
      <c r="G8" s="160"/>
      <c r="H8" s="160"/>
      <c r="I8" s="160"/>
      <c r="J8" s="160"/>
      <c r="K8" s="161"/>
    </row>
    <row r="9" spans="2:11" ht="16.5" thickBot="1" x14ac:dyDescent="0.3">
      <c r="B9" s="158"/>
      <c r="C9" s="155"/>
      <c r="D9" s="156"/>
      <c r="E9" s="205" t="s">
        <v>77</v>
      </c>
      <c r="F9" s="206"/>
      <c r="G9" s="205" t="s">
        <v>78</v>
      </c>
      <c r="H9" s="206"/>
      <c r="I9" s="205" t="s">
        <v>325</v>
      </c>
      <c r="J9" s="206"/>
      <c r="K9" s="161"/>
    </row>
    <row r="10" spans="2:11" ht="15.75" thickBot="1" x14ac:dyDescent="0.25">
      <c r="B10" s="158"/>
      <c r="C10" s="158"/>
      <c r="D10" s="160"/>
      <c r="E10" s="181" t="s">
        <v>13</v>
      </c>
      <c r="F10" s="181" t="s">
        <v>75</v>
      </c>
      <c r="G10" s="181" t="s">
        <v>13</v>
      </c>
      <c r="H10" s="181" t="s">
        <v>75</v>
      </c>
      <c r="I10" s="181" t="s">
        <v>13</v>
      </c>
      <c r="J10" s="180" t="s">
        <v>75</v>
      </c>
      <c r="K10" s="161"/>
    </row>
    <row r="11" spans="2:11" ht="46.5" customHeight="1" thickBot="1" x14ac:dyDescent="0.25">
      <c r="B11" s="158"/>
      <c r="C11" s="200" t="s">
        <v>326</v>
      </c>
      <c r="D11" s="182" t="s">
        <v>327</v>
      </c>
      <c r="E11" s="172">
        <f>Without_scheme_opening_year_not_in_exceedance</f>
        <v>136.43438145432202</v>
      </c>
      <c r="F11" s="173">
        <f>Without_scheme_forecast_year_not_in_exceedance</f>
        <v>129.99034692001342</v>
      </c>
      <c r="G11" s="173">
        <f>With_scheme_opening_year_not_in_exceedance</f>
        <v>136.97176844772562</v>
      </c>
      <c r="H11" s="175">
        <f>With_scheme_forecast_year_not_in_exceedance</f>
        <v>131.55557736777939</v>
      </c>
      <c r="I11" s="173">
        <f>Change_opening_year_not_in_exceedance</f>
        <v>0.53738699340360085</v>
      </c>
      <c r="J11" s="173">
        <f>Change_forecast_year_not_in_exceedance</f>
        <v>1.5652304477659698</v>
      </c>
      <c r="K11" s="161"/>
    </row>
    <row r="12" spans="2:11" ht="45.75" thickBot="1" x14ac:dyDescent="0.25">
      <c r="B12" s="158"/>
      <c r="C12" s="201"/>
      <c r="D12" s="183" t="s">
        <v>328</v>
      </c>
      <c r="E12" s="173">
        <f>Without_scheme_opening_year_exceedance</f>
        <v>0</v>
      </c>
      <c r="F12" s="173">
        <f>Without_scheme_forecast_year_exceedance</f>
        <v>0</v>
      </c>
      <c r="G12" s="173">
        <f>With_scheme_opening_year_exceedance</f>
        <v>0</v>
      </c>
      <c r="H12" s="174">
        <f>With_scheme_forecast_year_exceedance</f>
        <v>0</v>
      </c>
      <c r="I12" s="173">
        <f>Change_opening_year_exceedance</f>
        <v>0</v>
      </c>
      <c r="J12" s="173">
        <f>Change_forecast_year_exceedance</f>
        <v>0</v>
      </c>
      <c r="K12" s="161"/>
    </row>
    <row r="13" spans="2:11" x14ac:dyDescent="0.2">
      <c r="B13" s="158"/>
      <c r="C13" s="160"/>
      <c r="D13" s="160"/>
      <c r="E13" s="160"/>
      <c r="F13" s="160"/>
      <c r="G13" s="160"/>
      <c r="H13" s="160"/>
      <c r="I13" s="160"/>
      <c r="J13" s="160"/>
      <c r="K13" s="161"/>
    </row>
    <row r="14" spans="2:11" ht="60" customHeight="1" x14ac:dyDescent="0.25">
      <c r="B14" s="158"/>
      <c r="C14" s="160"/>
      <c r="D14" s="184" t="s">
        <v>329</v>
      </c>
      <c r="E14" s="202"/>
      <c r="F14" s="202"/>
      <c r="G14" s="202"/>
      <c r="H14" s="202"/>
      <c r="I14" s="202"/>
      <c r="J14" s="202"/>
      <c r="K14" s="161"/>
    </row>
    <row r="15" spans="2:11" x14ac:dyDescent="0.2">
      <c r="B15" s="158"/>
      <c r="C15" s="160"/>
      <c r="D15" s="163"/>
      <c r="E15" s="160"/>
      <c r="F15" s="160"/>
      <c r="G15" s="160"/>
      <c r="H15" s="160"/>
      <c r="I15" s="160"/>
      <c r="J15" s="160"/>
      <c r="K15" s="161"/>
    </row>
    <row r="16" spans="2:11" ht="15.75" x14ac:dyDescent="0.25">
      <c r="B16" s="158"/>
      <c r="C16" s="160"/>
      <c r="D16" s="184" t="s">
        <v>356</v>
      </c>
      <c r="E16" s="203" t="s">
        <v>423</v>
      </c>
      <c r="F16" s="203"/>
      <c r="G16" s="203"/>
      <c r="H16" s="203"/>
      <c r="I16" s="203"/>
      <c r="J16" s="203"/>
      <c r="K16" s="161"/>
    </row>
    <row r="17" spans="2:11" ht="15.75" thickBot="1" x14ac:dyDescent="0.25">
      <c r="B17" s="164"/>
      <c r="C17" s="165"/>
      <c r="D17" s="165"/>
      <c r="E17" s="165"/>
      <c r="F17" s="165"/>
      <c r="G17" s="165"/>
      <c r="H17" s="165"/>
      <c r="I17" s="165"/>
      <c r="J17" s="165"/>
      <c r="K17" s="166"/>
    </row>
    <row r="18" spans="2:11" x14ac:dyDescent="0.2"/>
  </sheetData>
  <mergeCells count="7">
    <mergeCell ref="C11:C12"/>
    <mergeCell ref="E14:J14"/>
    <mergeCell ref="E16:J16"/>
    <mergeCell ref="D7:E7"/>
    <mergeCell ref="E9:F9"/>
    <mergeCell ref="G9:H9"/>
    <mergeCell ref="I9:J9"/>
  </mergeCells>
  <pageMargins left="0.75" right="0.75" top="1" bottom="1" header="0.5" footer="0.5"/>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53"/>
  <sheetViews>
    <sheetView showGridLines="0" tabSelected="1" zoomScale="70" zoomScaleNormal="70" workbookViewId="0">
      <selection activeCell="H18" sqref="H18"/>
    </sheetView>
  </sheetViews>
  <sheetFormatPr defaultColWidth="0" defaultRowHeight="15" zeroHeight="1" x14ac:dyDescent="0.2"/>
  <cols>
    <col min="1" max="1" width="6.28515625" style="2" customWidth="1"/>
    <col min="2" max="2" width="8.85546875" style="2" customWidth="1"/>
    <col min="3" max="3" width="11.85546875" style="2" customWidth="1"/>
    <col min="4" max="4" width="17.140625" style="2" customWidth="1"/>
    <col min="5" max="5" width="17.28515625" style="2" customWidth="1"/>
    <col min="6" max="7" width="22.85546875" style="3" customWidth="1"/>
    <col min="8" max="8" width="17.28515625" style="3" customWidth="1"/>
    <col min="9" max="9" width="6.28515625" style="3" customWidth="1"/>
    <col min="10" max="12" width="17.5703125" style="2" hidden="1" customWidth="1"/>
    <col min="13" max="13" width="6.140625" style="3" hidden="1" customWidth="1"/>
    <col min="14" max="14" width="15.5703125" style="2" hidden="1" customWidth="1"/>
    <col min="15" max="256" width="9.140625" style="2" hidden="1" customWidth="1"/>
    <col min="257" max="257" width="8.85546875" style="2" hidden="1" customWidth="1"/>
    <col min="258" max="258" width="11.85546875" style="2" hidden="1" customWidth="1"/>
    <col min="259" max="260" width="17.5703125" style="2" hidden="1" customWidth="1"/>
    <col min="261" max="261" width="12.42578125" style="2" hidden="1" customWidth="1"/>
    <col min="262" max="262" width="11.140625" style="2" hidden="1" customWidth="1"/>
    <col min="263" max="263" width="18.42578125" style="2" hidden="1" customWidth="1"/>
    <col min="264" max="268" width="17.5703125" style="2" hidden="1" customWidth="1"/>
    <col min="269" max="269" width="6.140625" style="2" hidden="1" customWidth="1"/>
    <col min="270" max="270" width="15.5703125" style="2" hidden="1" customWidth="1"/>
    <col min="271" max="512" width="9.140625" style="2" hidden="1" customWidth="1"/>
    <col min="513" max="513" width="8.85546875" style="2" hidden="1" customWidth="1"/>
    <col min="514" max="514" width="11.85546875" style="2" hidden="1" customWidth="1"/>
    <col min="515" max="516" width="17.5703125" style="2" hidden="1" customWidth="1"/>
    <col min="517" max="517" width="12.42578125" style="2" hidden="1" customWidth="1"/>
    <col min="518" max="518" width="11.140625" style="2" hidden="1" customWidth="1"/>
    <col min="519" max="519" width="18.42578125" style="2" hidden="1" customWidth="1"/>
    <col min="520" max="524" width="17.5703125" style="2" hidden="1" customWidth="1"/>
    <col min="525" max="525" width="6.140625" style="2" hidden="1" customWidth="1"/>
    <col min="526" max="526" width="15.5703125" style="2" hidden="1" customWidth="1"/>
    <col min="527" max="768" width="9.140625" style="2" hidden="1" customWidth="1"/>
    <col min="769" max="769" width="8.85546875" style="2" hidden="1" customWidth="1"/>
    <col min="770" max="770" width="11.85546875" style="2" hidden="1" customWidth="1"/>
    <col min="771" max="772" width="17.5703125" style="2" hidden="1" customWidth="1"/>
    <col min="773" max="773" width="12.42578125" style="2" hidden="1" customWidth="1"/>
    <col min="774" max="774" width="11.140625" style="2" hidden="1" customWidth="1"/>
    <col min="775" max="775" width="18.42578125" style="2" hidden="1" customWidth="1"/>
    <col min="776" max="780" width="17.5703125" style="2" hidden="1" customWidth="1"/>
    <col min="781" max="781" width="6.140625" style="2" hidden="1" customWidth="1"/>
    <col min="782" max="782" width="15.5703125" style="2" hidden="1" customWidth="1"/>
    <col min="783" max="1024" width="9.140625" style="2" hidden="1"/>
    <col min="1025" max="1025" width="8.85546875" style="2" hidden="1" customWidth="1"/>
    <col min="1026" max="1026" width="11.85546875" style="2" hidden="1" customWidth="1"/>
    <col min="1027" max="1028" width="17.5703125" style="2" hidden="1" customWidth="1"/>
    <col min="1029" max="1029" width="12.42578125" style="2" hidden="1" customWidth="1"/>
    <col min="1030" max="1030" width="11.140625" style="2" hidden="1" customWidth="1"/>
    <col min="1031" max="1031" width="18.42578125" style="2" hidden="1" customWidth="1"/>
    <col min="1032" max="1036" width="17.5703125" style="2" hidden="1" customWidth="1"/>
    <col min="1037" max="1037" width="6.140625" style="2" hidden="1" customWidth="1"/>
    <col min="1038" max="1038" width="15.5703125" style="2" hidden="1" customWidth="1"/>
    <col min="1039" max="1280" width="9.140625" style="2" hidden="1" customWidth="1"/>
    <col min="1281" max="1281" width="8.85546875" style="2" hidden="1" customWidth="1"/>
    <col min="1282" max="1282" width="11.85546875" style="2" hidden="1" customWidth="1"/>
    <col min="1283" max="1284" width="17.5703125" style="2" hidden="1" customWidth="1"/>
    <col min="1285" max="1285" width="12.42578125" style="2" hidden="1" customWidth="1"/>
    <col min="1286" max="1286" width="11.140625" style="2" hidden="1" customWidth="1"/>
    <col min="1287" max="1287" width="18.42578125" style="2" hidden="1" customWidth="1"/>
    <col min="1288" max="1292" width="17.5703125" style="2" hidden="1" customWidth="1"/>
    <col min="1293" max="1293" width="6.140625" style="2" hidden="1" customWidth="1"/>
    <col min="1294" max="1294" width="15.5703125" style="2" hidden="1" customWidth="1"/>
    <col min="1295" max="1536" width="9.140625" style="2" hidden="1" customWidth="1"/>
    <col min="1537" max="1537" width="8.85546875" style="2" hidden="1" customWidth="1"/>
    <col min="1538" max="1538" width="11.85546875" style="2" hidden="1" customWidth="1"/>
    <col min="1539" max="1540" width="17.5703125" style="2" hidden="1" customWidth="1"/>
    <col min="1541" max="1541" width="12.42578125" style="2" hidden="1" customWidth="1"/>
    <col min="1542" max="1542" width="11.140625" style="2" hidden="1" customWidth="1"/>
    <col min="1543" max="1543" width="18.42578125" style="2" hidden="1" customWidth="1"/>
    <col min="1544" max="1548" width="17.5703125" style="2" hidden="1" customWidth="1"/>
    <col min="1549" max="1549" width="6.140625" style="2" hidden="1" customWidth="1"/>
    <col min="1550" max="1550" width="15.5703125" style="2" hidden="1" customWidth="1"/>
    <col min="1551" max="1792" width="9.140625" style="2" hidden="1" customWidth="1"/>
    <col min="1793" max="1793" width="8.85546875" style="2" hidden="1" customWidth="1"/>
    <col min="1794" max="1794" width="11.85546875" style="2" hidden="1" customWidth="1"/>
    <col min="1795" max="1796" width="17.5703125" style="2" hidden="1" customWidth="1"/>
    <col min="1797" max="1797" width="12.42578125" style="2" hidden="1" customWidth="1"/>
    <col min="1798" max="1798" width="11.140625" style="2" hidden="1" customWidth="1"/>
    <col min="1799" max="1799" width="18.42578125" style="2" hidden="1" customWidth="1"/>
    <col min="1800" max="1804" width="17.5703125" style="2" hidden="1" customWidth="1"/>
    <col min="1805" max="1805" width="6.140625" style="2" hidden="1" customWidth="1"/>
    <col min="1806" max="1806" width="15.5703125" style="2" hidden="1" customWidth="1"/>
    <col min="1807" max="2048" width="9.140625" style="2" hidden="1"/>
    <col min="2049" max="2049" width="8.85546875" style="2" hidden="1" customWidth="1"/>
    <col min="2050" max="2050" width="11.85546875" style="2" hidden="1" customWidth="1"/>
    <col min="2051" max="2052" width="17.5703125" style="2" hidden="1" customWidth="1"/>
    <col min="2053" max="2053" width="12.42578125" style="2" hidden="1" customWidth="1"/>
    <col min="2054" max="2054" width="11.140625" style="2" hidden="1" customWidth="1"/>
    <col min="2055" max="2055" width="18.42578125" style="2" hidden="1" customWidth="1"/>
    <col min="2056" max="2060" width="17.5703125" style="2" hidden="1" customWidth="1"/>
    <col min="2061" max="2061" width="6.140625" style="2" hidden="1" customWidth="1"/>
    <col min="2062" max="2062" width="15.5703125" style="2" hidden="1" customWidth="1"/>
    <col min="2063" max="2304" width="9.140625" style="2" hidden="1" customWidth="1"/>
    <col min="2305" max="2305" width="8.85546875" style="2" hidden="1" customWidth="1"/>
    <col min="2306" max="2306" width="11.85546875" style="2" hidden="1" customWidth="1"/>
    <col min="2307" max="2308" width="17.5703125" style="2" hidden="1" customWidth="1"/>
    <col min="2309" max="2309" width="12.42578125" style="2" hidden="1" customWidth="1"/>
    <col min="2310" max="2310" width="11.140625" style="2" hidden="1" customWidth="1"/>
    <col min="2311" max="2311" width="18.42578125" style="2" hidden="1" customWidth="1"/>
    <col min="2312" max="2316" width="17.5703125" style="2" hidden="1" customWidth="1"/>
    <col min="2317" max="2317" width="6.140625" style="2" hidden="1" customWidth="1"/>
    <col min="2318" max="2318" width="15.5703125" style="2" hidden="1" customWidth="1"/>
    <col min="2319" max="2560" width="9.140625" style="2" hidden="1" customWidth="1"/>
    <col min="2561" max="2561" width="8.85546875" style="2" hidden="1" customWidth="1"/>
    <col min="2562" max="2562" width="11.85546875" style="2" hidden="1" customWidth="1"/>
    <col min="2563" max="2564" width="17.5703125" style="2" hidden="1" customWidth="1"/>
    <col min="2565" max="2565" width="12.42578125" style="2" hidden="1" customWidth="1"/>
    <col min="2566" max="2566" width="11.140625" style="2" hidden="1" customWidth="1"/>
    <col min="2567" max="2567" width="18.42578125" style="2" hidden="1" customWidth="1"/>
    <col min="2568" max="2572" width="17.5703125" style="2" hidden="1" customWidth="1"/>
    <col min="2573" max="2573" width="6.140625" style="2" hidden="1" customWidth="1"/>
    <col min="2574" max="2574" width="15.5703125" style="2" hidden="1" customWidth="1"/>
    <col min="2575" max="2816" width="9.140625" style="2" hidden="1" customWidth="1"/>
    <col min="2817" max="2817" width="8.85546875" style="2" hidden="1" customWidth="1"/>
    <col min="2818" max="2818" width="11.85546875" style="2" hidden="1" customWidth="1"/>
    <col min="2819" max="2820" width="17.5703125" style="2" hidden="1" customWidth="1"/>
    <col min="2821" max="2821" width="12.42578125" style="2" hidden="1" customWidth="1"/>
    <col min="2822" max="2822" width="11.140625" style="2" hidden="1" customWidth="1"/>
    <col min="2823" max="2823" width="18.42578125" style="2" hidden="1" customWidth="1"/>
    <col min="2824" max="2828" width="17.5703125" style="2" hidden="1" customWidth="1"/>
    <col min="2829" max="2829" width="6.140625" style="2" hidden="1" customWidth="1"/>
    <col min="2830" max="2830" width="15.5703125" style="2" hidden="1" customWidth="1"/>
    <col min="2831" max="3072" width="9.140625" style="2" hidden="1"/>
    <col min="3073" max="3073" width="8.85546875" style="2" hidden="1" customWidth="1"/>
    <col min="3074" max="3074" width="11.85546875" style="2" hidden="1" customWidth="1"/>
    <col min="3075" max="3076" width="17.5703125" style="2" hidden="1" customWidth="1"/>
    <col min="3077" max="3077" width="12.42578125" style="2" hidden="1" customWidth="1"/>
    <col min="3078" max="3078" width="11.140625" style="2" hidden="1" customWidth="1"/>
    <col min="3079" max="3079" width="18.42578125" style="2" hidden="1" customWidth="1"/>
    <col min="3080" max="3084" width="17.5703125" style="2" hidden="1" customWidth="1"/>
    <col min="3085" max="3085" width="6.140625" style="2" hidden="1" customWidth="1"/>
    <col min="3086" max="3086" width="15.5703125" style="2" hidden="1" customWidth="1"/>
    <col min="3087" max="3328" width="9.140625" style="2" hidden="1" customWidth="1"/>
    <col min="3329" max="3329" width="8.85546875" style="2" hidden="1" customWidth="1"/>
    <col min="3330" max="3330" width="11.85546875" style="2" hidden="1" customWidth="1"/>
    <col min="3331" max="3332" width="17.5703125" style="2" hidden="1" customWidth="1"/>
    <col min="3333" max="3333" width="12.42578125" style="2" hidden="1" customWidth="1"/>
    <col min="3334" max="3334" width="11.140625" style="2" hidden="1" customWidth="1"/>
    <col min="3335" max="3335" width="18.42578125" style="2" hidden="1" customWidth="1"/>
    <col min="3336" max="3340" width="17.5703125" style="2" hidden="1" customWidth="1"/>
    <col min="3341" max="3341" width="6.140625" style="2" hidden="1" customWidth="1"/>
    <col min="3342" max="3342" width="15.5703125" style="2" hidden="1" customWidth="1"/>
    <col min="3343" max="3584" width="9.140625" style="2" hidden="1" customWidth="1"/>
    <col min="3585" max="3585" width="8.85546875" style="2" hidden="1" customWidth="1"/>
    <col min="3586" max="3586" width="11.85546875" style="2" hidden="1" customWidth="1"/>
    <col min="3587" max="3588" width="17.5703125" style="2" hidden="1" customWidth="1"/>
    <col min="3589" max="3589" width="12.42578125" style="2" hidden="1" customWidth="1"/>
    <col min="3590" max="3590" width="11.140625" style="2" hidden="1" customWidth="1"/>
    <col min="3591" max="3591" width="18.42578125" style="2" hidden="1" customWidth="1"/>
    <col min="3592" max="3596" width="17.5703125" style="2" hidden="1" customWidth="1"/>
    <col min="3597" max="3597" width="6.140625" style="2" hidden="1" customWidth="1"/>
    <col min="3598" max="3598" width="15.5703125" style="2" hidden="1" customWidth="1"/>
    <col min="3599" max="3840" width="9.140625" style="2" hidden="1" customWidth="1"/>
    <col min="3841" max="3841" width="8.85546875" style="2" hidden="1" customWidth="1"/>
    <col min="3842" max="3842" width="11.85546875" style="2" hidden="1" customWidth="1"/>
    <col min="3843" max="3844" width="17.5703125" style="2" hidden="1" customWidth="1"/>
    <col min="3845" max="3845" width="12.42578125" style="2" hidden="1" customWidth="1"/>
    <col min="3846" max="3846" width="11.140625" style="2" hidden="1" customWidth="1"/>
    <col min="3847" max="3847" width="18.42578125" style="2" hidden="1" customWidth="1"/>
    <col min="3848" max="3852" width="17.5703125" style="2" hidden="1" customWidth="1"/>
    <col min="3853" max="3853" width="6.140625" style="2" hidden="1" customWidth="1"/>
    <col min="3854" max="3854" width="15.5703125" style="2" hidden="1" customWidth="1"/>
    <col min="3855" max="4096" width="9.140625" style="2" hidden="1"/>
    <col min="4097" max="4097" width="8.85546875" style="2" hidden="1" customWidth="1"/>
    <col min="4098" max="4098" width="11.85546875" style="2" hidden="1" customWidth="1"/>
    <col min="4099" max="4100" width="17.5703125" style="2" hidden="1" customWidth="1"/>
    <col min="4101" max="4101" width="12.42578125" style="2" hidden="1" customWidth="1"/>
    <col min="4102" max="4102" width="11.140625" style="2" hidden="1" customWidth="1"/>
    <col min="4103" max="4103" width="18.42578125" style="2" hidden="1" customWidth="1"/>
    <col min="4104" max="4108" width="17.5703125" style="2" hidden="1" customWidth="1"/>
    <col min="4109" max="4109" width="6.140625" style="2" hidden="1" customWidth="1"/>
    <col min="4110" max="4110" width="15.5703125" style="2" hidden="1" customWidth="1"/>
    <col min="4111" max="4352" width="9.140625" style="2" hidden="1" customWidth="1"/>
    <col min="4353" max="4353" width="8.85546875" style="2" hidden="1" customWidth="1"/>
    <col min="4354" max="4354" width="11.85546875" style="2" hidden="1" customWidth="1"/>
    <col min="4355" max="4356" width="17.5703125" style="2" hidden="1" customWidth="1"/>
    <col min="4357" max="4357" width="12.42578125" style="2" hidden="1" customWidth="1"/>
    <col min="4358" max="4358" width="11.140625" style="2" hidden="1" customWidth="1"/>
    <col min="4359" max="4359" width="18.42578125" style="2" hidden="1" customWidth="1"/>
    <col min="4360" max="4364" width="17.5703125" style="2" hidden="1" customWidth="1"/>
    <col min="4365" max="4365" width="6.140625" style="2" hidden="1" customWidth="1"/>
    <col min="4366" max="4366" width="15.5703125" style="2" hidden="1" customWidth="1"/>
    <col min="4367" max="4608" width="9.140625" style="2" hidden="1" customWidth="1"/>
    <col min="4609" max="4609" width="8.85546875" style="2" hidden="1" customWidth="1"/>
    <col min="4610" max="4610" width="11.85546875" style="2" hidden="1" customWidth="1"/>
    <col min="4611" max="4612" width="17.5703125" style="2" hidden="1" customWidth="1"/>
    <col min="4613" max="4613" width="12.42578125" style="2" hidden="1" customWidth="1"/>
    <col min="4614" max="4614" width="11.140625" style="2" hidden="1" customWidth="1"/>
    <col min="4615" max="4615" width="18.42578125" style="2" hidden="1" customWidth="1"/>
    <col min="4616" max="4620" width="17.5703125" style="2" hidden="1" customWidth="1"/>
    <col min="4621" max="4621" width="6.140625" style="2" hidden="1" customWidth="1"/>
    <col min="4622" max="4622" width="15.5703125" style="2" hidden="1" customWidth="1"/>
    <col min="4623" max="4864" width="9.140625" style="2" hidden="1" customWidth="1"/>
    <col min="4865" max="4865" width="8.85546875" style="2" hidden="1" customWidth="1"/>
    <col min="4866" max="4866" width="11.85546875" style="2" hidden="1" customWidth="1"/>
    <col min="4867" max="4868" width="17.5703125" style="2" hidden="1" customWidth="1"/>
    <col min="4869" max="4869" width="12.42578125" style="2" hidden="1" customWidth="1"/>
    <col min="4870" max="4870" width="11.140625" style="2" hidden="1" customWidth="1"/>
    <col min="4871" max="4871" width="18.42578125" style="2" hidden="1" customWidth="1"/>
    <col min="4872" max="4876" width="17.5703125" style="2" hidden="1" customWidth="1"/>
    <col min="4877" max="4877" width="6.140625" style="2" hidden="1" customWidth="1"/>
    <col min="4878" max="4878" width="15.5703125" style="2" hidden="1" customWidth="1"/>
    <col min="4879" max="5120" width="9.140625" style="2" hidden="1"/>
    <col min="5121" max="5121" width="8.85546875" style="2" hidden="1" customWidth="1"/>
    <col min="5122" max="5122" width="11.85546875" style="2" hidden="1" customWidth="1"/>
    <col min="5123" max="5124" width="17.5703125" style="2" hidden="1" customWidth="1"/>
    <col min="5125" max="5125" width="12.42578125" style="2" hidden="1" customWidth="1"/>
    <col min="5126" max="5126" width="11.140625" style="2" hidden="1" customWidth="1"/>
    <col min="5127" max="5127" width="18.42578125" style="2" hidden="1" customWidth="1"/>
    <col min="5128" max="5132" width="17.5703125" style="2" hidden="1" customWidth="1"/>
    <col min="5133" max="5133" width="6.140625" style="2" hidden="1" customWidth="1"/>
    <col min="5134" max="5134" width="15.5703125" style="2" hidden="1" customWidth="1"/>
    <col min="5135" max="5376" width="9.140625" style="2" hidden="1" customWidth="1"/>
    <col min="5377" max="5377" width="8.85546875" style="2" hidden="1" customWidth="1"/>
    <col min="5378" max="5378" width="11.85546875" style="2" hidden="1" customWidth="1"/>
    <col min="5379" max="5380" width="17.5703125" style="2" hidden="1" customWidth="1"/>
    <col min="5381" max="5381" width="12.42578125" style="2" hidden="1" customWidth="1"/>
    <col min="5382" max="5382" width="11.140625" style="2" hidden="1" customWidth="1"/>
    <col min="5383" max="5383" width="18.42578125" style="2" hidden="1" customWidth="1"/>
    <col min="5384" max="5388" width="17.5703125" style="2" hidden="1" customWidth="1"/>
    <col min="5389" max="5389" width="6.140625" style="2" hidden="1" customWidth="1"/>
    <col min="5390" max="5390" width="15.5703125" style="2" hidden="1" customWidth="1"/>
    <col min="5391" max="5632" width="9.140625" style="2" hidden="1" customWidth="1"/>
    <col min="5633" max="5633" width="8.85546875" style="2" hidden="1" customWidth="1"/>
    <col min="5634" max="5634" width="11.85546875" style="2" hidden="1" customWidth="1"/>
    <col min="5635" max="5636" width="17.5703125" style="2" hidden="1" customWidth="1"/>
    <col min="5637" max="5637" width="12.42578125" style="2" hidden="1" customWidth="1"/>
    <col min="5638" max="5638" width="11.140625" style="2" hidden="1" customWidth="1"/>
    <col min="5639" max="5639" width="18.42578125" style="2" hidden="1" customWidth="1"/>
    <col min="5640" max="5644" width="17.5703125" style="2" hidden="1" customWidth="1"/>
    <col min="5645" max="5645" width="6.140625" style="2" hidden="1" customWidth="1"/>
    <col min="5646" max="5646" width="15.5703125" style="2" hidden="1" customWidth="1"/>
    <col min="5647" max="5888" width="9.140625" style="2" hidden="1" customWidth="1"/>
    <col min="5889" max="5889" width="8.85546875" style="2" hidden="1" customWidth="1"/>
    <col min="5890" max="5890" width="11.85546875" style="2" hidden="1" customWidth="1"/>
    <col min="5891" max="5892" width="17.5703125" style="2" hidden="1" customWidth="1"/>
    <col min="5893" max="5893" width="12.42578125" style="2" hidden="1" customWidth="1"/>
    <col min="5894" max="5894" width="11.140625" style="2" hidden="1" customWidth="1"/>
    <col min="5895" max="5895" width="18.42578125" style="2" hidden="1" customWidth="1"/>
    <col min="5896" max="5900" width="17.5703125" style="2" hidden="1" customWidth="1"/>
    <col min="5901" max="5901" width="6.140625" style="2" hidden="1" customWidth="1"/>
    <col min="5902" max="5902" width="15.5703125" style="2" hidden="1" customWidth="1"/>
    <col min="5903" max="6144" width="9.140625" style="2" hidden="1"/>
    <col min="6145" max="6145" width="8.85546875" style="2" hidden="1" customWidth="1"/>
    <col min="6146" max="6146" width="11.85546875" style="2" hidden="1" customWidth="1"/>
    <col min="6147" max="6148" width="17.5703125" style="2" hidden="1" customWidth="1"/>
    <col min="6149" max="6149" width="12.42578125" style="2" hidden="1" customWidth="1"/>
    <col min="6150" max="6150" width="11.140625" style="2" hidden="1" customWidth="1"/>
    <col min="6151" max="6151" width="18.42578125" style="2" hidden="1" customWidth="1"/>
    <col min="6152" max="6156" width="17.5703125" style="2" hidden="1" customWidth="1"/>
    <col min="6157" max="6157" width="6.140625" style="2" hidden="1" customWidth="1"/>
    <col min="6158" max="6158" width="15.5703125" style="2" hidden="1" customWidth="1"/>
    <col min="6159" max="6400" width="9.140625" style="2" hidden="1" customWidth="1"/>
    <col min="6401" max="6401" width="8.85546875" style="2" hidden="1" customWidth="1"/>
    <col min="6402" max="6402" width="11.85546875" style="2" hidden="1" customWidth="1"/>
    <col min="6403" max="6404" width="17.5703125" style="2" hidden="1" customWidth="1"/>
    <col min="6405" max="6405" width="12.42578125" style="2" hidden="1" customWidth="1"/>
    <col min="6406" max="6406" width="11.140625" style="2" hidden="1" customWidth="1"/>
    <col min="6407" max="6407" width="18.42578125" style="2" hidden="1" customWidth="1"/>
    <col min="6408" max="6412" width="17.5703125" style="2" hidden="1" customWidth="1"/>
    <col min="6413" max="6413" width="6.140625" style="2" hidden="1" customWidth="1"/>
    <col min="6414" max="6414" width="15.5703125" style="2" hidden="1" customWidth="1"/>
    <col min="6415" max="6656" width="9.140625" style="2" hidden="1" customWidth="1"/>
    <col min="6657" max="6657" width="8.85546875" style="2" hidden="1" customWidth="1"/>
    <col min="6658" max="6658" width="11.85546875" style="2" hidden="1" customWidth="1"/>
    <col min="6659" max="6660" width="17.5703125" style="2" hidden="1" customWidth="1"/>
    <col min="6661" max="6661" width="12.42578125" style="2" hidden="1" customWidth="1"/>
    <col min="6662" max="6662" width="11.140625" style="2" hidden="1" customWidth="1"/>
    <col min="6663" max="6663" width="18.42578125" style="2" hidden="1" customWidth="1"/>
    <col min="6664" max="6668" width="17.5703125" style="2" hidden="1" customWidth="1"/>
    <col min="6669" max="6669" width="6.140625" style="2" hidden="1" customWidth="1"/>
    <col min="6670" max="6670" width="15.5703125" style="2" hidden="1" customWidth="1"/>
    <col min="6671" max="6912" width="9.140625" style="2" hidden="1" customWidth="1"/>
    <col min="6913" max="6913" width="8.85546875" style="2" hidden="1" customWidth="1"/>
    <col min="6914" max="6914" width="11.85546875" style="2" hidden="1" customWidth="1"/>
    <col min="6915" max="6916" width="17.5703125" style="2" hidden="1" customWidth="1"/>
    <col min="6917" max="6917" width="12.42578125" style="2" hidden="1" customWidth="1"/>
    <col min="6918" max="6918" width="11.140625" style="2" hidden="1" customWidth="1"/>
    <col min="6919" max="6919" width="18.42578125" style="2" hidden="1" customWidth="1"/>
    <col min="6920" max="6924" width="17.5703125" style="2" hidden="1" customWidth="1"/>
    <col min="6925" max="6925" width="6.140625" style="2" hidden="1" customWidth="1"/>
    <col min="6926" max="6926" width="15.5703125" style="2" hidden="1" customWidth="1"/>
    <col min="6927" max="7168" width="9.140625" style="2" hidden="1"/>
    <col min="7169" max="7169" width="8.85546875" style="2" hidden="1" customWidth="1"/>
    <col min="7170" max="7170" width="11.85546875" style="2" hidden="1" customWidth="1"/>
    <col min="7171" max="7172" width="17.5703125" style="2" hidden="1" customWidth="1"/>
    <col min="7173" max="7173" width="12.42578125" style="2" hidden="1" customWidth="1"/>
    <col min="7174" max="7174" width="11.140625" style="2" hidden="1" customWidth="1"/>
    <col min="7175" max="7175" width="18.42578125" style="2" hidden="1" customWidth="1"/>
    <col min="7176" max="7180" width="17.5703125" style="2" hidden="1" customWidth="1"/>
    <col min="7181" max="7181" width="6.140625" style="2" hidden="1" customWidth="1"/>
    <col min="7182" max="7182" width="15.5703125" style="2" hidden="1" customWidth="1"/>
    <col min="7183" max="7424" width="9.140625" style="2" hidden="1" customWidth="1"/>
    <col min="7425" max="7425" width="8.85546875" style="2" hidden="1" customWidth="1"/>
    <col min="7426" max="7426" width="11.85546875" style="2" hidden="1" customWidth="1"/>
    <col min="7427" max="7428" width="17.5703125" style="2" hidden="1" customWidth="1"/>
    <col min="7429" max="7429" width="12.42578125" style="2" hidden="1" customWidth="1"/>
    <col min="7430" max="7430" width="11.140625" style="2" hidden="1" customWidth="1"/>
    <col min="7431" max="7431" width="18.42578125" style="2" hidden="1" customWidth="1"/>
    <col min="7432" max="7436" width="17.5703125" style="2" hidden="1" customWidth="1"/>
    <col min="7437" max="7437" width="6.140625" style="2" hidden="1" customWidth="1"/>
    <col min="7438" max="7438" width="15.5703125" style="2" hidden="1" customWidth="1"/>
    <col min="7439" max="7680" width="9.140625" style="2" hidden="1" customWidth="1"/>
    <col min="7681" max="7681" width="8.85546875" style="2" hidden="1" customWidth="1"/>
    <col min="7682" max="7682" width="11.85546875" style="2" hidden="1" customWidth="1"/>
    <col min="7683" max="7684" width="17.5703125" style="2" hidden="1" customWidth="1"/>
    <col min="7685" max="7685" width="12.42578125" style="2" hidden="1" customWidth="1"/>
    <col min="7686" max="7686" width="11.140625" style="2" hidden="1" customWidth="1"/>
    <col min="7687" max="7687" width="18.42578125" style="2" hidden="1" customWidth="1"/>
    <col min="7688" max="7692" width="17.5703125" style="2" hidden="1" customWidth="1"/>
    <col min="7693" max="7693" width="6.140625" style="2" hidden="1" customWidth="1"/>
    <col min="7694" max="7694" width="15.5703125" style="2" hidden="1" customWidth="1"/>
    <col min="7695" max="7936" width="9.140625" style="2" hidden="1" customWidth="1"/>
    <col min="7937" max="7937" width="8.85546875" style="2" hidden="1" customWidth="1"/>
    <col min="7938" max="7938" width="11.85546875" style="2" hidden="1" customWidth="1"/>
    <col min="7939" max="7940" width="17.5703125" style="2" hidden="1" customWidth="1"/>
    <col min="7941" max="7941" width="12.42578125" style="2" hidden="1" customWidth="1"/>
    <col min="7942" max="7942" width="11.140625" style="2" hidden="1" customWidth="1"/>
    <col min="7943" max="7943" width="18.42578125" style="2" hidden="1" customWidth="1"/>
    <col min="7944" max="7948" width="17.5703125" style="2" hidden="1" customWidth="1"/>
    <col min="7949" max="7949" width="6.140625" style="2" hidden="1" customWidth="1"/>
    <col min="7950" max="7950" width="15.5703125" style="2" hidden="1" customWidth="1"/>
    <col min="7951" max="8192" width="9.140625" style="2" hidden="1"/>
    <col min="8193" max="8193" width="8.85546875" style="2" hidden="1" customWidth="1"/>
    <col min="8194" max="8194" width="11.85546875" style="2" hidden="1" customWidth="1"/>
    <col min="8195" max="8196" width="17.5703125" style="2" hidden="1" customWidth="1"/>
    <col min="8197" max="8197" width="12.42578125" style="2" hidden="1" customWidth="1"/>
    <col min="8198" max="8198" width="11.140625" style="2" hidden="1" customWidth="1"/>
    <col min="8199" max="8199" width="18.42578125" style="2" hidden="1" customWidth="1"/>
    <col min="8200" max="8204" width="17.5703125" style="2" hidden="1" customWidth="1"/>
    <col min="8205" max="8205" width="6.140625" style="2" hidden="1" customWidth="1"/>
    <col min="8206" max="8206" width="15.5703125" style="2" hidden="1" customWidth="1"/>
    <col min="8207" max="8448" width="9.140625" style="2" hidden="1" customWidth="1"/>
    <col min="8449" max="8449" width="8.85546875" style="2" hidden="1" customWidth="1"/>
    <col min="8450" max="8450" width="11.85546875" style="2" hidden="1" customWidth="1"/>
    <col min="8451" max="8452" width="17.5703125" style="2" hidden="1" customWidth="1"/>
    <col min="8453" max="8453" width="12.42578125" style="2" hidden="1" customWidth="1"/>
    <col min="8454" max="8454" width="11.140625" style="2" hidden="1" customWidth="1"/>
    <col min="8455" max="8455" width="18.42578125" style="2" hidden="1" customWidth="1"/>
    <col min="8456" max="8460" width="17.5703125" style="2" hidden="1" customWidth="1"/>
    <col min="8461" max="8461" width="6.140625" style="2" hidden="1" customWidth="1"/>
    <col min="8462" max="8462" width="15.5703125" style="2" hidden="1" customWidth="1"/>
    <col min="8463" max="8704" width="9.140625" style="2" hidden="1" customWidth="1"/>
    <col min="8705" max="8705" width="8.85546875" style="2" hidden="1" customWidth="1"/>
    <col min="8706" max="8706" width="11.85546875" style="2" hidden="1" customWidth="1"/>
    <col min="8707" max="8708" width="17.5703125" style="2" hidden="1" customWidth="1"/>
    <col min="8709" max="8709" width="12.42578125" style="2" hidden="1" customWidth="1"/>
    <col min="8710" max="8710" width="11.140625" style="2" hidden="1" customWidth="1"/>
    <col min="8711" max="8711" width="18.42578125" style="2" hidden="1" customWidth="1"/>
    <col min="8712" max="8716" width="17.5703125" style="2" hidden="1" customWidth="1"/>
    <col min="8717" max="8717" width="6.140625" style="2" hidden="1" customWidth="1"/>
    <col min="8718" max="8718" width="15.5703125" style="2" hidden="1" customWidth="1"/>
    <col min="8719" max="8960" width="9.140625" style="2" hidden="1" customWidth="1"/>
    <col min="8961" max="8961" width="8.85546875" style="2" hidden="1" customWidth="1"/>
    <col min="8962" max="8962" width="11.85546875" style="2" hidden="1" customWidth="1"/>
    <col min="8963" max="8964" width="17.5703125" style="2" hidden="1" customWidth="1"/>
    <col min="8965" max="8965" width="12.42578125" style="2" hidden="1" customWidth="1"/>
    <col min="8966" max="8966" width="11.140625" style="2" hidden="1" customWidth="1"/>
    <col min="8967" max="8967" width="18.42578125" style="2" hidden="1" customWidth="1"/>
    <col min="8968" max="8972" width="17.5703125" style="2" hidden="1" customWidth="1"/>
    <col min="8973" max="8973" width="6.140625" style="2" hidden="1" customWidth="1"/>
    <col min="8974" max="8974" width="15.5703125" style="2" hidden="1" customWidth="1"/>
    <col min="8975" max="9216" width="9.140625" style="2" hidden="1"/>
    <col min="9217" max="9217" width="8.85546875" style="2" hidden="1" customWidth="1"/>
    <col min="9218" max="9218" width="11.85546875" style="2" hidden="1" customWidth="1"/>
    <col min="9219" max="9220" width="17.5703125" style="2" hidden="1" customWidth="1"/>
    <col min="9221" max="9221" width="12.42578125" style="2" hidden="1" customWidth="1"/>
    <col min="9222" max="9222" width="11.140625" style="2" hidden="1" customWidth="1"/>
    <col min="9223" max="9223" width="18.42578125" style="2" hidden="1" customWidth="1"/>
    <col min="9224" max="9228" width="17.5703125" style="2" hidden="1" customWidth="1"/>
    <col min="9229" max="9229" width="6.140625" style="2" hidden="1" customWidth="1"/>
    <col min="9230" max="9230" width="15.5703125" style="2" hidden="1" customWidth="1"/>
    <col min="9231" max="9472" width="9.140625" style="2" hidden="1" customWidth="1"/>
    <col min="9473" max="9473" width="8.85546875" style="2" hidden="1" customWidth="1"/>
    <col min="9474" max="9474" width="11.85546875" style="2" hidden="1" customWidth="1"/>
    <col min="9475" max="9476" width="17.5703125" style="2" hidden="1" customWidth="1"/>
    <col min="9477" max="9477" width="12.42578125" style="2" hidden="1" customWidth="1"/>
    <col min="9478" max="9478" width="11.140625" style="2" hidden="1" customWidth="1"/>
    <col min="9479" max="9479" width="18.42578125" style="2" hidden="1" customWidth="1"/>
    <col min="9480" max="9484" width="17.5703125" style="2" hidden="1" customWidth="1"/>
    <col min="9485" max="9485" width="6.140625" style="2" hidden="1" customWidth="1"/>
    <col min="9486" max="9486" width="15.5703125" style="2" hidden="1" customWidth="1"/>
    <col min="9487" max="9728" width="9.140625" style="2" hidden="1" customWidth="1"/>
    <col min="9729" max="9729" width="8.85546875" style="2" hidden="1" customWidth="1"/>
    <col min="9730" max="9730" width="11.85546875" style="2" hidden="1" customWidth="1"/>
    <col min="9731" max="9732" width="17.5703125" style="2" hidden="1" customWidth="1"/>
    <col min="9733" max="9733" width="12.42578125" style="2" hidden="1" customWidth="1"/>
    <col min="9734" max="9734" width="11.140625" style="2" hidden="1" customWidth="1"/>
    <col min="9735" max="9735" width="18.42578125" style="2" hidden="1" customWidth="1"/>
    <col min="9736" max="9740" width="17.5703125" style="2" hidden="1" customWidth="1"/>
    <col min="9741" max="9741" width="6.140625" style="2" hidden="1" customWidth="1"/>
    <col min="9742" max="9742" width="15.5703125" style="2" hidden="1" customWidth="1"/>
    <col min="9743" max="9984" width="9.140625" style="2" hidden="1" customWidth="1"/>
    <col min="9985" max="9985" width="8.85546875" style="2" hidden="1" customWidth="1"/>
    <col min="9986" max="9986" width="11.85546875" style="2" hidden="1" customWidth="1"/>
    <col min="9987" max="9988" width="17.5703125" style="2" hidden="1" customWidth="1"/>
    <col min="9989" max="9989" width="12.42578125" style="2" hidden="1" customWidth="1"/>
    <col min="9990" max="9990" width="11.140625" style="2" hidden="1" customWidth="1"/>
    <col min="9991" max="9991" width="18.42578125" style="2" hidden="1" customWidth="1"/>
    <col min="9992" max="9996" width="17.5703125" style="2" hidden="1" customWidth="1"/>
    <col min="9997" max="9997" width="6.140625" style="2" hidden="1" customWidth="1"/>
    <col min="9998" max="9998" width="15.5703125" style="2" hidden="1" customWidth="1"/>
    <col min="9999" max="10240" width="9.140625" style="2" hidden="1"/>
    <col min="10241" max="10241" width="8.85546875" style="2" hidden="1" customWidth="1"/>
    <col min="10242" max="10242" width="11.85546875" style="2" hidden="1" customWidth="1"/>
    <col min="10243" max="10244" width="17.5703125" style="2" hidden="1" customWidth="1"/>
    <col min="10245" max="10245" width="12.42578125" style="2" hidden="1" customWidth="1"/>
    <col min="10246" max="10246" width="11.140625" style="2" hidden="1" customWidth="1"/>
    <col min="10247" max="10247" width="18.42578125" style="2" hidden="1" customWidth="1"/>
    <col min="10248" max="10252" width="17.5703125" style="2" hidden="1" customWidth="1"/>
    <col min="10253" max="10253" width="6.140625" style="2" hidden="1" customWidth="1"/>
    <col min="10254" max="10254" width="15.5703125" style="2" hidden="1" customWidth="1"/>
    <col min="10255" max="10496" width="9.140625" style="2" hidden="1" customWidth="1"/>
    <col min="10497" max="10497" width="8.85546875" style="2" hidden="1" customWidth="1"/>
    <col min="10498" max="10498" width="11.85546875" style="2" hidden="1" customWidth="1"/>
    <col min="10499" max="10500" width="17.5703125" style="2" hidden="1" customWidth="1"/>
    <col min="10501" max="10501" width="12.42578125" style="2" hidden="1" customWidth="1"/>
    <col min="10502" max="10502" width="11.140625" style="2" hidden="1" customWidth="1"/>
    <col min="10503" max="10503" width="18.42578125" style="2" hidden="1" customWidth="1"/>
    <col min="10504" max="10508" width="17.5703125" style="2" hidden="1" customWidth="1"/>
    <col min="10509" max="10509" width="6.140625" style="2" hidden="1" customWidth="1"/>
    <col min="10510" max="10510" width="15.5703125" style="2" hidden="1" customWidth="1"/>
    <col min="10511" max="10752" width="9.140625" style="2" hidden="1" customWidth="1"/>
    <col min="10753" max="10753" width="8.85546875" style="2" hidden="1" customWidth="1"/>
    <col min="10754" max="10754" width="11.85546875" style="2" hidden="1" customWidth="1"/>
    <col min="10755" max="10756" width="17.5703125" style="2" hidden="1" customWidth="1"/>
    <col min="10757" max="10757" width="12.42578125" style="2" hidden="1" customWidth="1"/>
    <col min="10758" max="10758" width="11.140625" style="2" hidden="1" customWidth="1"/>
    <col min="10759" max="10759" width="18.42578125" style="2" hidden="1" customWidth="1"/>
    <col min="10760" max="10764" width="17.5703125" style="2" hidden="1" customWidth="1"/>
    <col min="10765" max="10765" width="6.140625" style="2" hidden="1" customWidth="1"/>
    <col min="10766" max="10766" width="15.5703125" style="2" hidden="1" customWidth="1"/>
    <col min="10767" max="11008" width="9.140625" style="2" hidden="1" customWidth="1"/>
    <col min="11009" max="11009" width="8.85546875" style="2" hidden="1" customWidth="1"/>
    <col min="11010" max="11010" width="11.85546875" style="2" hidden="1" customWidth="1"/>
    <col min="11011" max="11012" width="17.5703125" style="2" hidden="1" customWidth="1"/>
    <col min="11013" max="11013" width="12.42578125" style="2" hidden="1" customWidth="1"/>
    <col min="11014" max="11014" width="11.140625" style="2" hidden="1" customWidth="1"/>
    <col min="11015" max="11015" width="18.42578125" style="2" hidden="1" customWidth="1"/>
    <col min="11016" max="11020" width="17.5703125" style="2" hidden="1" customWidth="1"/>
    <col min="11021" max="11021" width="6.140625" style="2" hidden="1" customWidth="1"/>
    <col min="11022" max="11022" width="15.5703125" style="2" hidden="1" customWidth="1"/>
    <col min="11023" max="11264" width="9.140625" style="2" hidden="1"/>
    <col min="11265" max="11265" width="8.85546875" style="2" hidden="1" customWidth="1"/>
    <col min="11266" max="11266" width="11.85546875" style="2" hidden="1" customWidth="1"/>
    <col min="11267" max="11268" width="17.5703125" style="2" hidden="1" customWidth="1"/>
    <col min="11269" max="11269" width="12.42578125" style="2" hidden="1" customWidth="1"/>
    <col min="11270" max="11270" width="11.140625" style="2" hidden="1" customWidth="1"/>
    <col min="11271" max="11271" width="18.42578125" style="2" hidden="1" customWidth="1"/>
    <col min="11272" max="11276" width="17.5703125" style="2" hidden="1" customWidth="1"/>
    <col min="11277" max="11277" width="6.140625" style="2" hidden="1" customWidth="1"/>
    <col min="11278" max="11278" width="15.5703125" style="2" hidden="1" customWidth="1"/>
    <col min="11279" max="11520" width="9.140625" style="2" hidden="1" customWidth="1"/>
    <col min="11521" max="11521" width="8.85546875" style="2" hidden="1" customWidth="1"/>
    <col min="11522" max="11522" width="11.85546875" style="2" hidden="1" customWidth="1"/>
    <col min="11523" max="11524" width="17.5703125" style="2" hidden="1" customWidth="1"/>
    <col min="11525" max="11525" width="12.42578125" style="2" hidden="1" customWidth="1"/>
    <col min="11526" max="11526" width="11.140625" style="2" hidden="1" customWidth="1"/>
    <col min="11527" max="11527" width="18.42578125" style="2" hidden="1" customWidth="1"/>
    <col min="11528" max="11532" width="17.5703125" style="2" hidden="1" customWidth="1"/>
    <col min="11533" max="11533" width="6.140625" style="2" hidden="1" customWidth="1"/>
    <col min="11534" max="11534" width="15.5703125" style="2" hidden="1" customWidth="1"/>
    <col min="11535" max="11776" width="9.140625" style="2" hidden="1" customWidth="1"/>
    <col min="11777" max="11777" width="8.85546875" style="2" hidden="1" customWidth="1"/>
    <col min="11778" max="11778" width="11.85546875" style="2" hidden="1" customWidth="1"/>
    <col min="11779" max="11780" width="17.5703125" style="2" hidden="1" customWidth="1"/>
    <col min="11781" max="11781" width="12.42578125" style="2" hidden="1" customWidth="1"/>
    <col min="11782" max="11782" width="11.140625" style="2" hidden="1" customWidth="1"/>
    <col min="11783" max="11783" width="18.42578125" style="2" hidden="1" customWidth="1"/>
    <col min="11784" max="11788" width="17.5703125" style="2" hidden="1" customWidth="1"/>
    <col min="11789" max="11789" width="6.140625" style="2" hidden="1" customWidth="1"/>
    <col min="11790" max="11790" width="15.5703125" style="2" hidden="1" customWidth="1"/>
    <col min="11791" max="12032" width="9.140625" style="2" hidden="1" customWidth="1"/>
    <col min="12033" max="12033" width="8.85546875" style="2" hidden="1" customWidth="1"/>
    <col min="12034" max="12034" width="11.85546875" style="2" hidden="1" customWidth="1"/>
    <col min="12035" max="12036" width="17.5703125" style="2" hidden="1" customWidth="1"/>
    <col min="12037" max="12037" width="12.42578125" style="2" hidden="1" customWidth="1"/>
    <col min="12038" max="12038" width="11.140625" style="2" hidden="1" customWidth="1"/>
    <col min="12039" max="12039" width="18.42578125" style="2" hidden="1" customWidth="1"/>
    <col min="12040" max="12044" width="17.5703125" style="2" hidden="1" customWidth="1"/>
    <col min="12045" max="12045" width="6.140625" style="2" hidden="1" customWidth="1"/>
    <col min="12046" max="12046" width="15.5703125" style="2" hidden="1" customWidth="1"/>
    <col min="12047" max="12288" width="9.140625" style="2" hidden="1"/>
    <col min="12289" max="12289" width="8.85546875" style="2" hidden="1" customWidth="1"/>
    <col min="12290" max="12290" width="11.85546875" style="2" hidden="1" customWidth="1"/>
    <col min="12291" max="12292" width="17.5703125" style="2" hidden="1" customWidth="1"/>
    <col min="12293" max="12293" width="12.42578125" style="2" hidden="1" customWidth="1"/>
    <col min="12294" max="12294" width="11.140625" style="2" hidden="1" customWidth="1"/>
    <col min="12295" max="12295" width="18.42578125" style="2" hidden="1" customWidth="1"/>
    <col min="12296" max="12300" width="17.5703125" style="2" hidden="1" customWidth="1"/>
    <col min="12301" max="12301" width="6.140625" style="2" hidden="1" customWidth="1"/>
    <col min="12302" max="12302" width="15.5703125" style="2" hidden="1" customWidth="1"/>
    <col min="12303" max="12544" width="9.140625" style="2" hidden="1" customWidth="1"/>
    <col min="12545" max="12545" width="8.85546875" style="2" hidden="1" customWidth="1"/>
    <col min="12546" max="12546" width="11.85546875" style="2" hidden="1" customWidth="1"/>
    <col min="12547" max="12548" width="17.5703125" style="2" hidden="1" customWidth="1"/>
    <col min="12549" max="12549" width="12.42578125" style="2" hidden="1" customWidth="1"/>
    <col min="12550" max="12550" width="11.140625" style="2" hidden="1" customWidth="1"/>
    <col min="12551" max="12551" width="18.42578125" style="2" hidden="1" customWidth="1"/>
    <col min="12552" max="12556" width="17.5703125" style="2" hidden="1" customWidth="1"/>
    <col min="12557" max="12557" width="6.140625" style="2" hidden="1" customWidth="1"/>
    <col min="12558" max="12558" width="15.5703125" style="2" hidden="1" customWidth="1"/>
    <col min="12559" max="12800" width="9.140625" style="2" hidden="1" customWidth="1"/>
    <col min="12801" max="12801" width="8.85546875" style="2" hidden="1" customWidth="1"/>
    <col min="12802" max="12802" width="11.85546875" style="2" hidden="1" customWidth="1"/>
    <col min="12803" max="12804" width="17.5703125" style="2" hidden="1" customWidth="1"/>
    <col min="12805" max="12805" width="12.42578125" style="2" hidden="1" customWidth="1"/>
    <col min="12806" max="12806" width="11.140625" style="2" hidden="1" customWidth="1"/>
    <col min="12807" max="12807" width="18.42578125" style="2" hidden="1" customWidth="1"/>
    <col min="12808" max="12812" width="17.5703125" style="2" hidden="1" customWidth="1"/>
    <col min="12813" max="12813" width="6.140625" style="2" hidden="1" customWidth="1"/>
    <col min="12814" max="12814" width="15.5703125" style="2" hidden="1" customWidth="1"/>
    <col min="12815" max="13056" width="9.140625" style="2" hidden="1" customWidth="1"/>
    <col min="13057" max="13057" width="8.85546875" style="2" hidden="1" customWidth="1"/>
    <col min="13058" max="13058" width="11.85546875" style="2" hidden="1" customWidth="1"/>
    <col min="13059" max="13060" width="17.5703125" style="2" hidden="1" customWidth="1"/>
    <col min="13061" max="13061" width="12.42578125" style="2" hidden="1" customWidth="1"/>
    <col min="13062" max="13062" width="11.140625" style="2" hidden="1" customWidth="1"/>
    <col min="13063" max="13063" width="18.42578125" style="2" hidden="1" customWidth="1"/>
    <col min="13064" max="13068" width="17.5703125" style="2" hidden="1" customWidth="1"/>
    <col min="13069" max="13069" width="6.140625" style="2" hidden="1" customWidth="1"/>
    <col min="13070" max="13070" width="15.5703125" style="2" hidden="1" customWidth="1"/>
    <col min="13071" max="13312" width="9.140625" style="2" hidden="1"/>
    <col min="13313" max="13313" width="8.85546875" style="2" hidden="1" customWidth="1"/>
    <col min="13314" max="13314" width="11.85546875" style="2" hidden="1" customWidth="1"/>
    <col min="13315" max="13316" width="17.5703125" style="2" hidden="1" customWidth="1"/>
    <col min="13317" max="13317" width="12.42578125" style="2" hidden="1" customWidth="1"/>
    <col min="13318" max="13318" width="11.140625" style="2" hidden="1" customWidth="1"/>
    <col min="13319" max="13319" width="18.42578125" style="2" hidden="1" customWidth="1"/>
    <col min="13320" max="13324" width="17.5703125" style="2" hidden="1" customWidth="1"/>
    <col min="13325" max="13325" width="6.140625" style="2" hidden="1" customWidth="1"/>
    <col min="13326" max="13326" width="15.5703125" style="2" hidden="1" customWidth="1"/>
    <col min="13327" max="13568" width="9.140625" style="2" hidden="1" customWidth="1"/>
    <col min="13569" max="13569" width="8.85546875" style="2" hidden="1" customWidth="1"/>
    <col min="13570" max="13570" width="11.85546875" style="2" hidden="1" customWidth="1"/>
    <col min="13571" max="13572" width="17.5703125" style="2" hidden="1" customWidth="1"/>
    <col min="13573" max="13573" width="12.42578125" style="2" hidden="1" customWidth="1"/>
    <col min="13574" max="13574" width="11.140625" style="2" hidden="1" customWidth="1"/>
    <col min="13575" max="13575" width="18.42578125" style="2" hidden="1" customWidth="1"/>
    <col min="13576" max="13580" width="17.5703125" style="2" hidden="1" customWidth="1"/>
    <col min="13581" max="13581" width="6.140625" style="2" hidden="1" customWidth="1"/>
    <col min="13582" max="13582" width="15.5703125" style="2" hidden="1" customWidth="1"/>
    <col min="13583" max="13824" width="9.140625" style="2" hidden="1" customWidth="1"/>
    <col min="13825" max="13825" width="8.85546875" style="2" hidden="1" customWidth="1"/>
    <col min="13826" max="13826" width="11.85546875" style="2" hidden="1" customWidth="1"/>
    <col min="13827" max="13828" width="17.5703125" style="2" hidden="1" customWidth="1"/>
    <col min="13829" max="13829" width="12.42578125" style="2" hidden="1" customWidth="1"/>
    <col min="13830" max="13830" width="11.140625" style="2" hidden="1" customWidth="1"/>
    <col min="13831" max="13831" width="18.42578125" style="2" hidden="1" customWidth="1"/>
    <col min="13832" max="13836" width="17.5703125" style="2" hidden="1" customWidth="1"/>
    <col min="13837" max="13837" width="6.140625" style="2" hidden="1" customWidth="1"/>
    <col min="13838" max="13838" width="15.5703125" style="2" hidden="1" customWidth="1"/>
    <col min="13839" max="14080" width="9.140625" style="2" hidden="1" customWidth="1"/>
    <col min="14081" max="14081" width="8.85546875" style="2" hidden="1" customWidth="1"/>
    <col min="14082" max="14082" width="11.85546875" style="2" hidden="1" customWidth="1"/>
    <col min="14083" max="14084" width="17.5703125" style="2" hidden="1" customWidth="1"/>
    <col min="14085" max="14085" width="12.42578125" style="2" hidden="1" customWidth="1"/>
    <col min="14086" max="14086" width="11.140625" style="2" hidden="1" customWidth="1"/>
    <col min="14087" max="14087" width="18.42578125" style="2" hidden="1" customWidth="1"/>
    <col min="14088" max="14092" width="17.5703125" style="2" hidden="1" customWidth="1"/>
    <col min="14093" max="14093" width="6.140625" style="2" hidden="1" customWidth="1"/>
    <col min="14094" max="14094" width="15.5703125" style="2" hidden="1" customWidth="1"/>
    <col min="14095" max="14336" width="9.140625" style="2" hidden="1"/>
    <col min="14337" max="14337" width="8.85546875" style="2" hidden="1" customWidth="1"/>
    <col min="14338" max="14338" width="11.85546875" style="2" hidden="1" customWidth="1"/>
    <col min="14339" max="14340" width="17.5703125" style="2" hidden="1" customWidth="1"/>
    <col min="14341" max="14341" width="12.42578125" style="2" hidden="1" customWidth="1"/>
    <col min="14342" max="14342" width="11.140625" style="2" hidden="1" customWidth="1"/>
    <col min="14343" max="14343" width="18.42578125" style="2" hidden="1" customWidth="1"/>
    <col min="14344" max="14348" width="17.5703125" style="2" hidden="1" customWidth="1"/>
    <col min="14349" max="14349" width="6.140625" style="2" hidden="1" customWidth="1"/>
    <col min="14350" max="14350" width="15.5703125" style="2" hidden="1" customWidth="1"/>
    <col min="14351" max="14592" width="9.140625" style="2" hidden="1" customWidth="1"/>
    <col min="14593" max="14593" width="8.85546875" style="2" hidden="1" customWidth="1"/>
    <col min="14594" max="14594" width="11.85546875" style="2" hidden="1" customWidth="1"/>
    <col min="14595" max="14596" width="17.5703125" style="2" hidden="1" customWidth="1"/>
    <col min="14597" max="14597" width="12.42578125" style="2" hidden="1" customWidth="1"/>
    <col min="14598" max="14598" width="11.140625" style="2" hidden="1" customWidth="1"/>
    <col min="14599" max="14599" width="18.42578125" style="2" hidden="1" customWidth="1"/>
    <col min="14600" max="14604" width="17.5703125" style="2" hidden="1" customWidth="1"/>
    <col min="14605" max="14605" width="6.140625" style="2" hidden="1" customWidth="1"/>
    <col min="14606" max="14606" width="15.5703125" style="2" hidden="1" customWidth="1"/>
    <col min="14607" max="14848" width="9.140625" style="2" hidden="1" customWidth="1"/>
    <col min="14849" max="14849" width="8.85546875" style="2" hidden="1" customWidth="1"/>
    <col min="14850" max="14850" width="11.85546875" style="2" hidden="1" customWidth="1"/>
    <col min="14851" max="14852" width="17.5703125" style="2" hidden="1" customWidth="1"/>
    <col min="14853" max="14853" width="12.42578125" style="2" hidden="1" customWidth="1"/>
    <col min="14854" max="14854" width="11.140625" style="2" hidden="1" customWidth="1"/>
    <col min="14855" max="14855" width="18.42578125" style="2" hidden="1" customWidth="1"/>
    <col min="14856" max="14860" width="17.5703125" style="2" hidden="1" customWidth="1"/>
    <col min="14861" max="14861" width="6.140625" style="2" hidden="1" customWidth="1"/>
    <col min="14862" max="14862" width="15.5703125" style="2" hidden="1" customWidth="1"/>
    <col min="14863" max="15104" width="9.140625" style="2" hidden="1" customWidth="1"/>
    <col min="15105" max="15105" width="8.85546875" style="2" hidden="1" customWidth="1"/>
    <col min="15106" max="15106" width="11.85546875" style="2" hidden="1" customWidth="1"/>
    <col min="15107" max="15108" width="17.5703125" style="2" hidden="1" customWidth="1"/>
    <col min="15109" max="15109" width="12.42578125" style="2" hidden="1" customWidth="1"/>
    <col min="15110" max="15110" width="11.140625" style="2" hidden="1" customWidth="1"/>
    <col min="15111" max="15111" width="18.42578125" style="2" hidden="1" customWidth="1"/>
    <col min="15112" max="15116" width="17.5703125" style="2" hidden="1" customWidth="1"/>
    <col min="15117" max="15117" width="6.140625" style="2" hidden="1" customWidth="1"/>
    <col min="15118" max="15118" width="15.5703125" style="2" hidden="1" customWidth="1"/>
    <col min="15119" max="15360" width="9.140625" style="2" hidden="1"/>
    <col min="15361" max="15361" width="8.85546875" style="2" hidden="1" customWidth="1"/>
    <col min="15362" max="15362" width="11.85546875" style="2" hidden="1" customWidth="1"/>
    <col min="15363" max="15364" width="17.5703125" style="2" hidden="1" customWidth="1"/>
    <col min="15365" max="15365" width="12.42578125" style="2" hidden="1" customWidth="1"/>
    <col min="15366" max="15366" width="11.140625" style="2" hidden="1" customWidth="1"/>
    <col min="15367" max="15367" width="18.42578125" style="2" hidden="1" customWidth="1"/>
    <col min="15368" max="15372" width="17.5703125" style="2" hidden="1" customWidth="1"/>
    <col min="15373" max="15373" width="6.140625" style="2" hidden="1" customWidth="1"/>
    <col min="15374" max="15374" width="15.5703125" style="2" hidden="1" customWidth="1"/>
    <col min="15375" max="15616" width="9.140625" style="2" hidden="1" customWidth="1"/>
    <col min="15617" max="15617" width="8.85546875" style="2" hidden="1" customWidth="1"/>
    <col min="15618" max="15618" width="11.85546875" style="2" hidden="1" customWidth="1"/>
    <col min="15619" max="15620" width="17.5703125" style="2" hidden="1" customWidth="1"/>
    <col min="15621" max="15621" width="12.42578125" style="2" hidden="1" customWidth="1"/>
    <col min="15622" max="15622" width="11.140625" style="2" hidden="1" customWidth="1"/>
    <col min="15623" max="15623" width="18.42578125" style="2" hidden="1" customWidth="1"/>
    <col min="15624" max="15628" width="17.5703125" style="2" hidden="1" customWidth="1"/>
    <col min="15629" max="15629" width="6.140625" style="2" hidden="1" customWidth="1"/>
    <col min="15630" max="15630" width="15.5703125" style="2" hidden="1" customWidth="1"/>
    <col min="15631" max="15872" width="9.140625" style="2" hidden="1" customWidth="1"/>
    <col min="15873" max="15873" width="8.85546875" style="2" hidden="1" customWidth="1"/>
    <col min="15874" max="15874" width="11.85546875" style="2" hidden="1" customWidth="1"/>
    <col min="15875" max="15876" width="17.5703125" style="2" hidden="1" customWidth="1"/>
    <col min="15877" max="15877" width="12.42578125" style="2" hidden="1" customWidth="1"/>
    <col min="15878" max="15878" width="11.140625" style="2" hidden="1" customWidth="1"/>
    <col min="15879" max="15879" width="18.42578125" style="2" hidden="1" customWidth="1"/>
    <col min="15880" max="15884" width="17.5703125" style="2" hidden="1" customWidth="1"/>
    <col min="15885" max="15885" width="6.140625" style="2" hidden="1" customWidth="1"/>
    <col min="15886" max="15886" width="15.5703125" style="2" hidden="1" customWidth="1"/>
    <col min="15887" max="16128" width="9.140625" style="2" hidden="1" customWidth="1"/>
    <col min="16129" max="16129" width="8.85546875" style="2" hidden="1" customWidth="1"/>
    <col min="16130" max="16130" width="11.85546875" style="2" hidden="1" customWidth="1"/>
    <col min="16131" max="16132" width="17.5703125" style="2" hidden="1" customWidth="1"/>
    <col min="16133" max="16133" width="12.42578125" style="2" hidden="1" customWidth="1"/>
    <col min="16134" max="16134" width="11.140625" style="2" hidden="1" customWidth="1"/>
    <col min="16135" max="16135" width="18.42578125" style="2" hidden="1" customWidth="1"/>
    <col min="16136" max="16140" width="17.5703125" style="2" hidden="1" customWidth="1"/>
    <col min="16141" max="16141" width="6.140625" style="2" hidden="1" customWidth="1"/>
    <col min="16142" max="16143" width="15.5703125" style="2" hidden="1" customWidth="1"/>
    <col min="16144" max="16383" width="9.140625" style="2" hidden="1" customWidth="1"/>
    <col min="16384" max="16384" width="9.140625" style="2" hidden="1"/>
  </cols>
  <sheetData>
    <row r="1" spans="2:13" x14ac:dyDescent="0.2"/>
    <row r="2" spans="2:13" s="59" customFormat="1" ht="26.25" customHeight="1" x14ac:dyDescent="0.4">
      <c r="B2" s="59" t="s">
        <v>364</v>
      </c>
    </row>
    <row r="3" spans="2:13" ht="18" x14ac:dyDescent="0.25">
      <c r="H3" s="2"/>
      <c r="I3" s="2"/>
      <c r="J3" s="1"/>
      <c r="K3" s="1"/>
      <c r="L3" s="1"/>
    </row>
    <row r="4" spans="2:13" ht="18" x14ac:dyDescent="0.25">
      <c r="B4" s="4" t="s">
        <v>360</v>
      </c>
      <c r="C4" s="4"/>
      <c r="D4" s="5"/>
      <c r="E4" s="63" t="str">
        <f>Scheme_name</f>
        <v>Warrington Western Link - Pink Route</v>
      </c>
      <c r="H4" s="2"/>
      <c r="I4" s="2"/>
      <c r="J4" s="1"/>
      <c r="K4" s="1"/>
      <c r="L4" s="1"/>
    </row>
    <row r="5" spans="2:13" ht="18.75" thickBot="1" x14ac:dyDescent="0.3">
      <c r="B5" s="4"/>
      <c r="C5" s="4"/>
      <c r="D5" s="6"/>
      <c r="E5" s="7"/>
      <c r="H5" s="2"/>
      <c r="I5" s="2"/>
      <c r="J5" s="1"/>
      <c r="K5" s="1"/>
      <c r="L5" s="1"/>
    </row>
    <row r="6" spans="2:13" ht="22.5" customHeight="1" thickBot="1" x14ac:dyDescent="0.3">
      <c r="B6" s="4" t="s">
        <v>0</v>
      </c>
      <c r="C6" s="4"/>
      <c r="D6" s="4"/>
      <c r="E6" s="36">
        <f>PV_base_year</f>
        <v>2010</v>
      </c>
      <c r="H6" s="2"/>
      <c r="I6" s="2"/>
      <c r="J6" s="1"/>
      <c r="K6" s="1"/>
      <c r="L6" s="1"/>
    </row>
    <row r="7" spans="2:13" ht="22.5" customHeight="1" thickBot="1" x14ac:dyDescent="0.3">
      <c r="B7" s="4"/>
      <c r="C7" s="4"/>
      <c r="D7" s="4"/>
      <c r="E7" s="8"/>
      <c r="H7" s="2"/>
      <c r="I7" s="2"/>
      <c r="J7" s="1"/>
      <c r="K7" s="1"/>
      <c r="L7" s="1"/>
    </row>
    <row r="8" spans="2:13" ht="22.5" customHeight="1" thickBot="1" x14ac:dyDescent="0.3">
      <c r="B8" s="4" t="s">
        <v>1</v>
      </c>
      <c r="C8" s="4"/>
      <c r="D8" s="4"/>
      <c r="E8" s="36">
        <f>Current_year</f>
        <v>2017</v>
      </c>
      <c r="H8" s="2"/>
      <c r="I8" s="2"/>
      <c r="J8" s="1"/>
      <c r="K8" s="1"/>
      <c r="L8" s="1"/>
    </row>
    <row r="9" spans="2:13" ht="18.75" thickBot="1" x14ac:dyDescent="0.3">
      <c r="E9" s="3"/>
      <c r="H9" s="2"/>
      <c r="I9" s="2"/>
      <c r="J9" s="1"/>
      <c r="K9" s="1"/>
      <c r="L9" s="1"/>
    </row>
    <row r="10" spans="2:13" ht="24.75" customHeight="1" thickBot="1" x14ac:dyDescent="0.3">
      <c r="B10" s="4" t="s">
        <v>2</v>
      </c>
      <c r="C10" s="9"/>
      <c r="D10" s="9"/>
      <c r="E10" s="36">
        <f>Opening_year</f>
        <v>2026</v>
      </c>
      <c r="F10" s="10"/>
      <c r="G10" s="10"/>
      <c r="H10" s="2"/>
      <c r="I10" s="2"/>
      <c r="J10" s="1"/>
      <c r="K10" s="1"/>
      <c r="L10" s="1"/>
    </row>
    <row r="11" spans="2:13" ht="18.75" thickBot="1" x14ac:dyDescent="0.3">
      <c r="B11" s="9"/>
      <c r="C11" s="9"/>
      <c r="D11" s="9"/>
      <c r="E11" s="3"/>
      <c r="H11" s="2"/>
      <c r="I11" s="2"/>
      <c r="J11" s="1"/>
      <c r="K11" s="1"/>
      <c r="L11" s="1"/>
    </row>
    <row r="12" spans="2:13" ht="23.25" customHeight="1" thickBot="1" x14ac:dyDescent="0.3">
      <c r="B12" s="11" t="s">
        <v>3</v>
      </c>
      <c r="C12" s="12"/>
      <c r="D12" s="12"/>
      <c r="E12" s="36" t="str">
        <f>Scheme_type</f>
        <v>road</v>
      </c>
      <c r="F12" s="10"/>
      <c r="G12" s="10"/>
      <c r="H12" s="2"/>
      <c r="I12" s="2"/>
      <c r="J12" s="1"/>
      <c r="K12" s="1"/>
      <c r="L12" s="1"/>
    </row>
    <row r="13" spans="2:13" ht="15" customHeight="1" x14ac:dyDescent="0.25">
      <c r="B13" s="11"/>
      <c r="C13" s="12"/>
      <c r="D13" s="12"/>
      <c r="E13" s="1" t="s">
        <v>5</v>
      </c>
      <c r="F13" s="10"/>
      <c r="G13" s="10"/>
      <c r="H13" s="2"/>
      <c r="I13" s="2"/>
      <c r="J13" s="1"/>
      <c r="K13" s="1"/>
      <c r="L13" s="1"/>
    </row>
    <row r="14" spans="2:13" ht="15" customHeight="1" thickBot="1" x14ac:dyDescent="0.3">
      <c r="B14" s="11"/>
      <c r="C14" s="12"/>
      <c r="D14" s="12"/>
      <c r="E14" s="1" t="s">
        <v>5</v>
      </c>
      <c r="F14" s="10"/>
      <c r="G14" s="10"/>
      <c r="H14" s="2"/>
      <c r="I14" s="2"/>
      <c r="J14" s="1"/>
      <c r="K14" s="1"/>
      <c r="L14" s="1"/>
    </row>
    <row r="15" spans="2:13" ht="15" customHeight="1" thickTop="1" x14ac:dyDescent="0.25">
      <c r="B15" s="13"/>
      <c r="C15" s="13"/>
      <c r="D15" s="13"/>
      <c r="E15" s="13"/>
      <c r="F15" s="13"/>
      <c r="G15" s="13"/>
      <c r="H15" s="13"/>
      <c r="I15" s="16"/>
      <c r="J15" s="1"/>
      <c r="K15" s="1"/>
      <c r="L15" s="1"/>
      <c r="M15" s="10"/>
    </row>
    <row r="16" spans="2:13" ht="15" customHeight="1" x14ac:dyDescent="0.25">
      <c r="B16" s="14" t="s">
        <v>6</v>
      </c>
      <c r="C16" s="15"/>
      <c r="D16" s="15"/>
      <c r="E16" s="15"/>
      <c r="F16" s="15"/>
      <c r="G16" s="15"/>
      <c r="H16" s="16"/>
      <c r="I16" s="16"/>
      <c r="J16" s="1"/>
      <c r="K16" s="1"/>
      <c r="L16" s="1"/>
      <c r="M16" s="10"/>
    </row>
    <row r="17" spans="2:13" ht="15" customHeight="1" thickBot="1" x14ac:dyDescent="0.3">
      <c r="B17" s="14"/>
      <c r="C17" s="15"/>
      <c r="D17" s="15"/>
      <c r="E17" s="15"/>
      <c r="F17" s="15"/>
      <c r="G17" s="15"/>
      <c r="H17" s="16"/>
      <c r="I17" s="16"/>
      <c r="J17" s="1"/>
      <c r="K17" s="1"/>
      <c r="L17" s="1"/>
      <c r="M17" s="10"/>
    </row>
    <row r="18" spans="2:13" ht="33" customHeight="1" thickBot="1" x14ac:dyDescent="0.3">
      <c r="B18" s="17" t="s">
        <v>266</v>
      </c>
      <c r="C18" s="18"/>
      <c r="D18" s="18"/>
      <c r="E18" s="18"/>
      <c r="F18" s="19"/>
      <c r="G18" s="19"/>
      <c r="H18" s="37">
        <f>NOx_NPV_central</f>
        <v>-43721.859415450141</v>
      </c>
      <c r="I18" s="120"/>
      <c r="J18" s="1"/>
      <c r="K18" s="1"/>
      <c r="L18" s="1"/>
      <c r="M18" s="10"/>
    </row>
    <row r="19" spans="2:13" ht="15" customHeight="1" thickBot="1" x14ac:dyDescent="0.3">
      <c r="B19" s="14"/>
      <c r="C19" s="15"/>
      <c r="D19" s="15"/>
      <c r="E19" s="15"/>
      <c r="F19" s="15"/>
      <c r="G19" s="15"/>
      <c r="H19" s="16"/>
      <c r="I19" s="16"/>
      <c r="J19" s="1"/>
      <c r="K19" s="1"/>
      <c r="L19" s="1"/>
      <c r="M19" s="10"/>
    </row>
    <row r="20" spans="2:13" ht="33" customHeight="1" thickBot="1" x14ac:dyDescent="0.3">
      <c r="B20" s="17" t="s">
        <v>264</v>
      </c>
      <c r="C20" s="18"/>
      <c r="D20" s="18"/>
      <c r="E20" s="18"/>
      <c r="F20" s="19"/>
      <c r="G20" s="19"/>
      <c r="H20" s="37">
        <f>PM10_damage_NPV_central</f>
        <v>-378807.29673769977</v>
      </c>
      <c r="I20" s="120"/>
      <c r="J20" s="1"/>
      <c r="K20" s="1"/>
      <c r="L20" s="1"/>
      <c r="M20" s="10"/>
    </row>
    <row r="21" spans="2:13" ht="15" customHeight="1" thickBot="1" x14ac:dyDescent="0.3">
      <c r="B21" s="14"/>
      <c r="C21" s="15"/>
      <c r="D21" s="15"/>
      <c r="E21" s="15"/>
      <c r="F21" s="15"/>
      <c r="G21" s="15"/>
      <c r="H21" s="16"/>
      <c r="I21" s="16"/>
      <c r="J21" s="1"/>
      <c r="K21" s="1"/>
      <c r="L21" s="1"/>
      <c r="M21" s="10"/>
    </row>
    <row r="22" spans="2:13" ht="33" customHeight="1" thickBot="1" x14ac:dyDescent="0.3">
      <c r="B22" s="17" t="s">
        <v>265</v>
      </c>
      <c r="C22" s="18"/>
      <c r="D22" s="18"/>
      <c r="E22" s="18"/>
      <c r="F22" s="19"/>
      <c r="G22" s="19"/>
      <c r="H22" s="37">
        <f>NPV_central</f>
        <v>-422529.1561531499</v>
      </c>
      <c r="I22" s="120"/>
      <c r="J22" s="1"/>
      <c r="K22" s="1"/>
      <c r="L22" s="1"/>
      <c r="M22" s="10"/>
    </row>
    <row r="23" spans="2:13" ht="32.25" customHeight="1" x14ac:dyDescent="0.25">
      <c r="B23" s="20"/>
      <c r="C23" s="20"/>
      <c r="D23" s="20"/>
      <c r="E23" s="20"/>
      <c r="F23" s="20"/>
      <c r="G23" s="20"/>
      <c r="H23" s="21" t="s">
        <v>212</v>
      </c>
      <c r="I23" s="21"/>
      <c r="J23" s="1"/>
      <c r="K23" s="1"/>
      <c r="L23" s="1"/>
      <c r="M23" s="22"/>
    </row>
    <row r="24" spans="2:13" ht="15" customHeight="1" thickBot="1" x14ac:dyDescent="0.3">
      <c r="B24" s="24"/>
      <c r="C24" s="24"/>
      <c r="D24" s="24"/>
      <c r="E24" s="24"/>
      <c r="F24" s="25"/>
      <c r="G24" s="25"/>
      <c r="H24" s="26"/>
      <c r="I24" s="26"/>
      <c r="J24" s="1"/>
      <c r="K24" s="1"/>
      <c r="L24" s="1"/>
      <c r="M24" s="10"/>
    </row>
    <row r="25" spans="2:13" ht="15" customHeight="1" thickTop="1" x14ac:dyDescent="0.25">
      <c r="B25" s="38"/>
      <c r="C25" s="38"/>
      <c r="D25" s="38"/>
      <c r="E25" s="38"/>
      <c r="F25" s="38"/>
      <c r="G25" s="38"/>
      <c r="H25" s="39"/>
      <c r="I25" s="42"/>
      <c r="J25" s="1"/>
      <c r="K25" s="1"/>
      <c r="L25" s="1"/>
      <c r="M25" s="10"/>
    </row>
    <row r="26" spans="2:13" ht="15" customHeight="1" x14ac:dyDescent="0.25">
      <c r="B26" s="40" t="s">
        <v>7</v>
      </c>
      <c r="C26" s="41"/>
      <c r="D26" s="41"/>
      <c r="E26" s="41"/>
      <c r="F26" s="41"/>
      <c r="G26" s="41"/>
      <c r="H26" s="42"/>
      <c r="I26" s="42"/>
      <c r="J26" s="1"/>
      <c r="K26" s="1"/>
      <c r="L26" s="1"/>
      <c r="M26" s="10"/>
    </row>
    <row r="27" spans="2:13" ht="15" customHeight="1" thickBot="1" x14ac:dyDescent="0.3">
      <c r="B27" s="43"/>
      <c r="C27" s="44"/>
      <c r="D27" s="44"/>
      <c r="E27" s="44"/>
      <c r="F27" s="44"/>
      <c r="G27" s="44"/>
      <c r="H27" s="42"/>
      <c r="I27" s="42"/>
      <c r="J27" s="1"/>
      <c r="K27" s="1"/>
      <c r="L27" s="1"/>
      <c r="M27" s="10"/>
    </row>
    <row r="28" spans="2:13" ht="18.75" thickBot="1" x14ac:dyDescent="0.3">
      <c r="B28" s="45" t="s">
        <v>267</v>
      </c>
      <c r="C28" s="45"/>
      <c r="D28" s="45"/>
      <c r="E28" s="45"/>
      <c r="F28" s="46"/>
      <c r="G28" s="46"/>
      <c r="H28" s="47">
        <f>Opening_year_net_route_assessment</f>
        <v>72.399999999906868</v>
      </c>
      <c r="I28" s="121"/>
      <c r="J28" s="1"/>
      <c r="K28" s="1"/>
      <c r="L28" s="1"/>
      <c r="M28" s="10"/>
    </row>
    <row r="29" spans="2:13" ht="15" customHeight="1" x14ac:dyDescent="0.25">
      <c r="B29" s="48" t="s">
        <v>8</v>
      </c>
      <c r="C29" s="48"/>
      <c r="D29" s="48"/>
      <c r="E29" s="46"/>
      <c r="F29" s="46"/>
      <c r="G29" s="46"/>
      <c r="H29" s="46"/>
      <c r="I29" s="46"/>
      <c r="J29" s="1"/>
      <c r="K29" s="1"/>
      <c r="L29" s="1"/>
      <c r="M29" s="10"/>
    </row>
    <row r="30" spans="2:13" ht="15" customHeight="1" thickBot="1" x14ac:dyDescent="0.3">
      <c r="B30" s="44"/>
      <c r="C30" s="44"/>
      <c r="D30" s="44"/>
      <c r="E30" s="44"/>
      <c r="F30" s="44"/>
      <c r="G30" s="44"/>
      <c r="H30" s="42"/>
      <c r="I30" s="42"/>
      <c r="J30" s="1"/>
      <c r="K30" s="1"/>
      <c r="L30" s="1"/>
      <c r="M30" s="10"/>
    </row>
    <row r="31" spans="2:13" ht="16.5" thickBot="1" x14ac:dyDescent="0.3">
      <c r="B31" s="45" t="s">
        <v>192</v>
      </c>
      <c r="C31" s="45"/>
      <c r="D31" s="45"/>
      <c r="E31" s="45"/>
      <c r="F31" s="45"/>
      <c r="G31" s="45"/>
      <c r="H31" s="47">
        <f>TOTAL_emissions_change_60years</f>
        <v>88.260687866965128</v>
      </c>
      <c r="I31" s="121"/>
    </row>
    <row r="32" spans="2:13" ht="15" customHeight="1" x14ac:dyDescent="0.25">
      <c r="B32" s="48" t="s">
        <v>8</v>
      </c>
      <c r="C32" s="48"/>
      <c r="D32" s="48"/>
      <c r="E32" s="46"/>
      <c r="F32" s="46"/>
      <c r="G32" s="46"/>
      <c r="H32" s="49"/>
      <c r="I32" s="49"/>
    </row>
    <row r="33" spans="2:13" ht="15" customHeight="1" x14ac:dyDescent="0.25">
      <c r="B33" s="48"/>
      <c r="C33" s="48"/>
      <c r="D33" s="48"/>
      <c r="E33" s="46"/>
      <c r="F33" s="46"/>
      <c r="G33" s="46"/>
      <c r="H33" s="49"/>
      <c r="I33" s="49"/>
    </row>
    <row r="34" spans="2:13" ht="15" customHeight="1" thickBot="1" x14ac:dyDescent="0.3">
      <c r="B34" s="50"/>
      <c r="C34" s="50"/>
      <c r="D34" s="50"/>
      <c r="E34" s="50"/>
      <c r="F34" s="50"/>
      <c r="G34" s="50"/>
      <c r="H34" s="51"/>
      <c r="I34" s="42"/>
      <c r="J34" s="1"/>
      <c r="K34" s="1"/>
      <c r="L34" s="1"/>
      <c r="M34" s="10"/>
    </row>
    <row r="35" spans="2:13" ht="15" customHeight="1" thickTop="1" thickBot="1" x14ac:dyDescent="0.3">
      <c r="B35" s="24"/>
      <c r="C35" s="24"/>
      <c r="D35" s="24"/>
      <c r="E35" s="24"/>
      <c r="F35" s="25"/>
      <c r="G35" s="25"/>
      <c r="H35" s="26"/>
      <c r="I35" s="26"/>
      <c r="J35" s="1"/>
      <c r="K35" s="1"/>
      <c r="L35" s="1"/>
      <c r="M35" s="10"/>
    </row>
    <row r="36" spans="2:13" ht="15" customHeight="1" thickTop="1" x14ac:dyDescent="0.25">
      <c r="B36" s="27"/>
      <c r="C36" s="27"/>
      <c r="D36" s="27"/>
      <c r="E36" s="27"/>
      <c r="F36" s="27"/>
      <c r="G36" s="27"/>
      <c r="H36" s="13"/>
      <c r="I36" s="16"/>
      <c r="J36" s="1"/>
      <c r="K36" s="1"/>
      <c r="L36" s="1"/>
      <c r="M36" s="10"/>
    </row>
    <row r="37" spans="2:13" ht="15" customHeight="1" x14ac:dyDescent="0.25">
      <c r="B37" s="14" t="s">
        <v>9</v>
      </c>
      <c r="C37" s="28"/>
      <c r="D37" s="28"/>
      <c r="E37" s="28"/>
      <c r="F37" s="28"/>
      <c r="G37" s="28"/>
      <c r="H37" s="30"/>
      <c r="I37" s="30"/>
      <c r="J37" s="1"/>
      <c r="K37" s="1"/>
      <c r="L37" s="1"/>
      <c r="M37" s="31"/>
    </row>
    <row r="38" spans="2:13" ht="15" customHeight="1" x14ac:dyDescent="0.25">
      <c r="B38" s="16"/>
      <c r="C38" s="16"/>
      <c r="D38" s="16"/>
      <c r="E38" s="16"/>
      <c r="F38" s="16"/>
      <c r="G38" s="16"/>
      <c r="H38" s="16"/>
      <c r="I38" s="16"/>
      <c r="J38" s="1"/>
      <c r="K38" s="1"/>
      <c r="L38" s="1"/>
      <c r="M38" s="10"/>
    </row>
    <row r="39" spans="2:13" ht="15" customHeight="1" x14ac:dyDescent="0.25">
      <c r="B39" s="16"/>
      <c r="C39" s="16"/>
      <c r="D39" s="16"/>
      <c r="E39" s="16"/>
      <c r="F39" s="16"/>
      <c r="G39" s="16"/>
      <c r="H39" s="16"/>
      <c r="I39" s="16"/>
      <c r="J39" s="1"/>
      <c r="K39" s="1"/>
      <c r="L39" s="1"/>
      <c r="M39" s="10"/>
    </row>
    <row r="40" spans="2:13" ht="15" customHeight="1" x14ac:dyDescent="0.25">
      <c r="B40" s="16"/>
      <c r="C40" s="16"/>
      <c r="D40" s="16"/>
      <c r="E40" s="16"/>
      <c r="F40" s="16"/>
      <c r="G40" s="16"/>
      <c r="H40" s="16"/>
      <c r="I40" s="16"/>
      <c r="J40" s="1"/>
      <c r="K40" s="1"/>
      <c r="L40" s="1"/>
      <c r="M40" s="10"/>
    </row>
    <row r="41" spans="2:13" ht="15" customHeight="1" x14ac:dyDescent="0.25">
      <c r="B41" s="16"/>
      <c r="C41" s="16"/>
      <c r="D41" s="16"/>
      <c r="E41" s="16"/>
      <c r="F41" s="16"/>
      <c r="G41" s="16"/>
      <c r="H41" s="16"/>
      <c r="I41" s="16"/>
      <c r="J41" s="1"/>
      <c r="K41" s="1"/>
      <c r="L41" s="1"/>
      <c r="M41" s="10"/>
    </row>
    <row r="42" spans="2:13" ht="15" customHeight="1" x14ac:dyDescent="0.25">
      <c r="B42" s="16"/>
      <c r="C42" s="16"/>
      <c r="D42" s="16"/>
      <c r="E42" s="16"/>
      <c r="F42" s="16"/>
      <c r="G42" s="16"/>
      <c r="H42" s="16"/>
      <c r="I42" s="16"/>
      <c r="J42" s="1"/>
      <c r="K42" s="1"/>
      <c r="L42" s="1"/>
      <c r="M42" s="10"/>
    </row>
    <row r="43" spans="2:13" ht="15" customHeight="1" x14ac:dyDescent="0.25">
      <c r="B43" s="16"/>
      <c r="C43" s="16"/>
      <c r="D43" s="16"/>
      <c r="E43" s="16"/>
      <c r="F43" s="16"/>
      <c r="G43" s="16"/>
      <c r="H43" s="16"/>
      <c r="I43" s="16"/>
      <c r="J43" s="1"/>
      <c r="K43" s="1"/>
      <c r="L43" s="1"/>
      <c r="M43" s="10"/>
    </row>
    <row r="44" spans="2:13" ht="15" customHeight="1" x14ac:dyDescent="0.25">
      <c r="B44" s="16"/>
      <c r="C44" s="16"/>
      <c r="D44" s="16"/>
      <c r="E44" s="16"/>
      <c r="F44" s="16"/>
      <c r="G44" s="16"/>
      <c r="H44" s="16"/>
      <c r="I44" s="16"/>
      <c r="J44" s="1"/>
      <c r="K44" s="1"/>
      <c r="L44" s="1"/>
      <c r="M44" s="10"/>
    </row>
    <row r="45" spans="2:13" ht="15" customHeight="1" thickBot="1" x14ac:dyDescent="0.3">
      <c r="B45" s="23"/>
      <c r="C45" s="23"/>
      <c r="D45" s="23"/>
      <c r="E45" s="23"/>
      <c r="F45" s="23"/>
      <c r="G45" s="23"/>
      <c r="H45" s="23"/>
      <c r="I45" s="16"/>
      <c r="J45" s="1"/>
      <c r="K45" s="1"/>
      <c r="L45" s="1"/>
      <c r="M45" s="10"/>
    </row>
    <row r="46" spans="2:13" ht="15" customHeight="1" thickTop="1" thickBot="1" x14ac:dyDescent="0.3">
      <c r="H46" s="2"/>
      <c r="I46" s="2"/>
      <c r="J46" s="1"/>
      <c r="K46" s="1"/>
      <c r="L46" s="1"/>
    </row>
    <row r="47" spans="2:13" ht="15" customHeight="1" thickTop="1" x14ac:dyDescent="0.25">
      <c r="B47" s="13"/>
      <c r="C47" s="13"/>
      <c r="D47" s="13"/>
      <c r="E47" s="13"/>
      <c r="F47" s="13"/>
      <c r="G47" s="13"/>
      <c r="H47" s="13"/>
      <c r="I47" s="16"/>
      <c r="J47" s="1"/>
      <c r="K47" s="1"/>
      <c r="L47" s="1"/>
      <c r="M47" s="10"/>
    </row>
    <row r="48" spans="2:13" ht="15" customHeight="1" x14ac:dyDescent="0.25">
      <c r="B48" s="32" t="s">
        <v>10</v>
      </c>
      <c r="C48" s="16"/>
      <c r="D48" s="16"/>
      <c r="E48" s="16"/>
      <c r="F48" s="16"/>
      <c r="G48" s="16"/>
      <c r="H48" s="16"/>
      <c r="I48" s="16"/>
      <c r="J48" s="1"/>
      <c r="K48" s="1"/>
      <c r="L48" s="1"/>
      <c r="M48" s="10"/>
    </row>
    <row r="49" spans="2:13" ht="15" customHeight="1" thickBot="1" x14ac:dyDescent="0.3">
      <c r="B49" s="32"/>
      <c r="C49" s="16"/>
      <c r="D49" s="16"/>
      <c r="E49" s="16"/>
      <c r="F49" s="16"/>
      <c r="G49" s="16"/>
      <c r="H49" s="16"/>
      <c r="I49" s="16"/>
      <c r="J49" s="1"/>
      <c r="K49" s="1"/>
      <c r="L49" s="1"/>
      <c r="M49" s="10"/>
    </row>
    <row r="50" spans="2:13" ht="18.75" thickBot="1" x14ac:dyDescent="0.3">
      <c r="B50" s="19" t="s">
        <v>268</v>
      </c>
      <c r="C50" s="19"/>
      <c r="D50" s="19"/>
      <c r="E50" s="19"/>
      <c r="F50" s="33"/>
      <c r="G50" s="33"/>
      <c r="H50" s="37">
        <f>NPV_high</f>
        <v>-480121.50699078076</v>
      </c>
      <c r="I50" s="119"/>
      <c r="J50" s="1"/>
      <c r="K50" s="1"/>
      <c r="L50" s="1"/>
      <c r="M50" s="10"/>
    </row>
    <row r="51" spans="2:13" ht="15" customHeight="1" thickBot="1" x14ac:dyDescent="0.3">
      <c r="B51" s="16"/>
      <c r="C51" s="16"/>
      <c r="D51" s="16"/>
      <c r="E51" s="16"/>
      <c r="F51" s="16"/>
      <c r="G51" s="16"/>
      <c r="H51" s="34"/>
      <c r="I51" s="34"/>
      <c r="J51" s="1"/>
      <c r="K51" s="1"/>
      <c r="L51" s="1"/>
      <c r="M51" s="10"/>
    </row>
    <row r="52" spans="2:13" ht="18.75" thickBot="1" x14ac:dyDescent="0.3">
      <c r="B52" s="19" t="s">
        <v>269</v>
      </c>
      <c r="C52" s="19"/>
      <c r="D52" s="19"/>
      <c r="E52" s="19"/>
      <c r="F52" s="33"/>
      <c r="G52" s="33"/>
      <c r="H52" s="37">
        <f>NPV_low</f>
        <v>-232576.15353463462</v>
      </c>
      <c r="I52" s="119"/>
      <c r="J52" s="1"/>
      <c r="K52" s="1"/>
      <c r="L52" s="1"/>
      <c r="M52" s="10"/>
    </row>
    <row r="53" spans="2:13" ht="15" customHeight="1" thickBot="1" x14ac:dyDescent="0.3">
      <c r="B53" s="23"/>
      <c r="C53" s="23"/>
      <c r="D53" s="23"/>
      <c r="E53" s="23"/>
      <c r="F53" s="23"/>
      <c r="G53" s="23"/>
      <c r="H53" s="23"/>
      <c r="I53" s="16"/>
      <c r="J53" s="1"/>
      <c r="K53" s="1"/>
      <c r="L53" s="1"/>
      <c r="M53" s="10"/>
    </row>
    <row r="54" spans="2:13" ht="15" customHeight="1" thickTop="1" thickBot="1" x14ac:dyDescent="0.3">
      <c r="J54" s="1"/>
      <c r="K54" s="1"/>
      <c r="L54" s="1"/>
    </row>
    <row r="55" spans="2:13" ht="15" customHeight="1" thickTop="1" x14ac:dyDescent="0.25">
      <c r="B55" s="13"/>
      <c r="C55" s="13"/>
      <c r="D55" s="13"/>
      <c r="E55" s="13"/>
      <c r="F55" s="13"/>
      <c r="G55" s="13"/>
      <c r="H55" s="13"/>
      <c r="I55" s="16"/>
      <c r="J55" s="1"/>
      <c r="K55" s="1"/>
      <c r="L55" s="1"/>
      <c r="M55" s="10"/>
    </row>
    <row r="56" spans="2:13" ht="15" customHeight="1" x14ac:dyDescent="0.25">
      <c r="B56" s="32" t="s">
        <v>11</v>
      </c>
      <c r="C56" s="16"/>
      <c r="D56" s="16"/>
      <c r="E56" s="16"/>
      <c r="F56" s="16"/>
      <c r="G56" s="16"/>
      <c r="H56" s="16"/>
      <c r="I56" s="16"/>
      <c r="J56" s="1"/>
      <c r="K56" s="1"/>
      <c r="L56" s="1"/>
      <c r="M56" s="10"/>
    </row>
    <row r="57" spans="2:13" ht="15" customHeight="1" x14ac:dyDescent="0.25">
      <c r="B57" s="16" t="s">
        <v>426</v>
      </c>
      <c r="C57" s="16"/>
      <c r="D57" s="16"/>
      <c r="E57" s="16"/>
      <c r="F57" s="16"/>
      <c r="G57" s="16"/>
      <c r="H57" s="16"/>
      <c r="I57" s="16"/>
      <c r="J57" s="1"/>
      <c r="K57" s="1"/>
      <c r="L57" s="1"/>
      <c r="M57" s="10"/>
    </row>
    <row r="58" spans="2:13" ht="15" customHeight="1" x14ac:dyDescent="0.25">
      <c r="B58" s="16" t="s">
        <v>424</v>
      </c>
      <c r="C58" s="16"/>
      <c r="D58" s="16"/>
      <c r="E58" s="16"/>
      <c r="F58" s="16"/>
      <c r="G58" s="16"/>
      <c r="H58" s="16"/>
      <c r="I58" s="16"/>
      <c r="J58" s="1"/>
      <c r="K58" s="1"/>
      <c r="L58" s="1"/>
      <c r="M58" s="10"/>
    </row>
    <row r="59" spans="2:13" ht="15" customHeight="1" x14ac:dyDescent="0.25">
      <c r="B59" s="16" t="s">
        <v>425</v>
      </c>
      <c r="C59" s="16"/>
      <c r="D59" s="16"/>
      <c r="E59" s="16"/>
      <c r="F59" s="16"/>
      <c r="G59" s="16"/>
      <c r="H59" s="16"/>
      <c r="I59" s="16"/>
      <c r="J59" s="1"/>
      <c r="K59" s="1"/>
      <c r="L59" s="1"/>
      <c r="M59" s="10"/>
    </row>
    <row r="60" spans="2:13" ht="15" customHeight="1" x14ac:dyDescent="0.25">
      <c r="B60" s="16"/>
      <c r="C60" s="16"/>
      <c r="D60" s="16"/>
      <c r="E60" s="16"/>
      <c r="F60" s="16"/>
      <c r="G60" s="16"/>
      <c r="H60" s="16"/>
      <c r="I60" s="16"/>
      <c r="J60" s="1"/>
      <c r="K60" s="1"/>
      <c r="L60" s="1"/>
      <c r="M60" s="10"/>
    </row>
    <row r="61" spans="2:13" ht="15" customHeight="1" x14ac:dyDescent="0.25">
      <c r="B61" s="16"/>
      <c r="C61" s="16"/>
      <c r="D61" s="16"/>
      <c r="E61" s="16"/>
      <c r="F61" s="16"/>
      <c r="G61" s="16"/>
      <c r="H61" s="16"/>
      <c r="I61" s="16"/>
      <c r="J61" s="1"/>
      <c r="K61" s="1"/>
      <c r="L61" s="1"/>
      <c r="M61" s="10"/>
    </row>
    <row r="62" spans="2:13" ht="15" customHeight="1" x14ac:dyDescent="0.25">
      <c r="B62" s="16"/>
      <c r="C62" s="16"/>
      <c r="D62" s="16"/>
      <c r="E62" s="16"/>
      <c r="F62" s="16"/>
      <c r="G62" s="16"/>
      <c r="H62" s="16"/>
      <c r="I62" s="16"/>
      <c r="J62" s="1"/>
      <c r="K62" s="1"/>
      <c r="L62" s="1"/>
      <c r="M62" s="10"/>
    </row>
    <row r="63" spans="2:13" ht="15" customHeight="1" x14ac:dyDescent="0.25">
      <c r="B63" s="16"/>
      <c r="C63" s="16"/>
      <c r="D63" s="16"/>
      <c r="E63" s="16"/>
      <c r="F63" s="16"/>
      <c r="G63" s="16"/>
      <c r="H63" s="16"/>
      <c r="I63" s="16"/>
      <c r="J63" s="1"/>
      <c r="K63" s="1"/>
      <c r="L63" s="1"/>
      <c r="M63" s="10"/>
    </row>
    <row r="64" spans="2:13" ht="24" customHeight="1" thickBot="1" x14ac:dyDescent="0.3">
      <c r="B64" s="23"/>
      <c r="C64" s="23"/>
      <c r="D64" s="23"/>
      <c r="E64" s="23"/>
      <c r="F64" s="23"/>
      <c r="G64" s="23"/>
      <c r="H64" s="23"/>
      <c r="I64" s="16"/>
      <c r="J64" s="1"/>
      <c r="K64" s="1"/>
      <c r="L64" s="1"/>
      <c r="M64" s="10"/>
    </row>
    <row r="65" spans="2:28" ht="28.5" customHeight="1" thickTop="1" x14ac:dyDescent="0.25">
      <c r="B65" s="11"/>
      <c r="C65" s="12"/>
      <c r="D65" s="12"/>
      <c r="E65" s="10"/>
      <c r="F65" s="10"/>
      <c r="G65" s="10"/>
      <c r="H65" s="10"/>
      <c r="I65" s="10"/>
      <c r="J65" s="1"/>
      <c r="K65" s="1"/>
      <c r="L65" s="1"/>
    </row>
    <row r="66" spans="2:28" ht="18" hidden="1" x14ac:dyDescent="0.25">
      <c r="F66" s="2"/>
      <c r="G66" s="2"/>
      <c r="H66" s="2"/>
      <c r="I66" s="2"/>
      <c r="J66" s="1"/>
      <c r="K66" s="1"/>
      <c r="L66" s="1"/>
    </row>
    <row r="67" spans="2:28" ht="18" hidden="1" x14ac:dyDescent="0.25">
      <c r="F67" s="2"/>
      <c r="G67" s="2"/>
      <c r="H67" s="2"/>
      <c r="I67" s="2"/>
      <c r="J67" s="1"/>
      <c r="K67" s="1"/>
      <c r="L67" s="1"/>
    </row>
    <row r="68" spans="2:28" ht="18" hidden="1" x14ac:dyDescent="0.25">
      <c r="F68" s="2"/>
      <c r="G68" s="2"/>
      <c r="H68" s="2"/>
      <c r="I68" s="2"/>
      <c r="J68" s="1"/>
      <c r="K68" s="1"/>
      <c r="L68" s="1"/>
    </row>
    <row r="69" spans="2:28" ht="18" hidden="1" x14ac:dyDescent="0.25">
      <c r="F69" s="2"/>
      <c r="G69" s="2"/>
      <c r="H69" s="2"/>
      <c r="I69" s="2"/>
      <c r="J69" s="1"/>
      <c r="K69" s="1"/>
      <c r="L69" s="1"/>
    </row>
    <row r="70" spans="2:28" ht="18" hidden="1" x14ac:dyDescent="0.25">
      <c r="F70" s="2"/>
      <c r="G70" s="2"/>
      <c r="H70" s="2"/>
      <c r="I70" s="2"/>
      <c r="J70" s="1"/>
      <c r="K70" s="1"/>
      <c r="L70" s="1"/>
    </row>
    <row r="71" spans="2:28" ht="24" hidden="1" customHeight="1" x14ac:dyDescent="0.25">
      <c r="F71" s="2"/>
      <c r="G71" s="2"/>
      <c r="H71" s="2"/>
      <c r="I71" s="2"/>
      <c r="J71" s="1"/>
      <c r="K71" s="1"/>
      <c r="L71" s="1"/>
    </row>
    <row r="72" spans="2:28" ht="18" hidden="1" x14ac:dyDescent="0.25">
      <c r="F72" s="2"/>
      <c r="G72" s="2"/>
      <c r="H72" s="2"/>
      <c r="I72" s="2"/>
      <c r="J72" s="1"/>
      <c r="K72" s="1"/>
      <c r="L72" s="1"/>
    </row>
    <row r="73" spans="2:28" ht="18" hidden="1" x14ac:dyDescent="0.25">
      <c r="F73" s="2"/>
      <c r="G73" s="2"/>
      <c r="H73" s="2"/>
      <c r="I73" s="2"/>
      <c r="J73" s="1"/>
      <c r="K73" s="1"/>
      <c r="L73" s="1"/>
    </row>
    <row r="74" spans="2:28" ht="24" hidden="1" customHeight="1" x14ac:dyDescent="0.25">
      <c r="F74" s="2"/>
      <c r="G74" s="2"/>
      <c r="H74" s="2"/>
      <c r="I74" s="2"/>
      <c r="J74" s="1"/>
      <c r="K74" s="1"/>
      <c r="L74" s="1"/>
    </row>
    <row r="75" spans="2:28" ht="18" hidden="1" x14ac:dyDescent="0.25">
      <c r="F75" s="2"/>
      <c r="G75" s="2"/>
      <c r="H75" s="2"/>
      <c r="I75" s="2"/>
      <c r="J75" s="1"/>
      <c r="K75" s="1"/>
      <c r="L75" s="1"/>
    </row>
    <row r="76" spans="2:28" ht="14.25" hidden="1" customHeight="1" x14ac:dyDescent="0.25">
      <c r="F76" s="2"/>
      <c r="G76" s="2"/>
      <c r="H76" s="2"/>
      <c r="I76" s="2"/>
      <c r="J76" s="1"/>
      <c r="K76" s="1"/>
      <c r="L76" s="1"/>
    </row>
    <row r="77" spans="2:28" ht="18" hidden="1" x14ac:dyDescent="0.25">
      <c r="F77" s="2"/>
      <c r="G77" s="2"/>
      <c r="H77" s="2"/>
      <c r="I77" s="2"/>
      <c r="J77" s="1"/>
      <c r="K77" s="1"/>
      <c r="L77" s="1"/>
    </row>
    <row r="78" spans="2:28" ht="18" hidden="1" x14ac:dyDescent="0.25">
      <c r="F78" s="2"/>
      <c r="G78" s="2"/>
      <c r="H78" s="2"/>
      <c r="I78" s="2"/>
      <c r="J78" s="1"/>
      <c r="K78" s="1"/>
      <c r="L78" s="1"/>
    </row>
    <row r="79" spans="2:28" s="29" customFormat="1" ht="18" hidden="1" x14ac:dyDescent="0.25">
      <c r="B79" s="2"/>
      <c r="C79" s="2"/>
      <c r="D79" s="2"/>
      <c r="E79" s="2"/>
      <c r="F79" s="2"/>
      <c r="G79" s="2"/>
      <c r="H79" s="2"/>
      <c r="I79" s="2"/>
      <c r="J79" s="1"/>
      <c r="K79" s="1"/>
      <c r="L79" s="1"/>
      <c r="M79" s="3"/>
      <c r="N79" s="2"/>
      <c r="O79" s="2"/>
      <c r="P79" s="2"/>
      <c r="Q79" s="2"/>
      <c r="R79" s="2"/>
      <c r="S79" s="2"/>
      <c r="T79" s="2"/>
      <c r="U79" s="2"/>
      <c r="V79" s="2"/>
      <c r="W79" s="2"/>
      <c r="X79" s="2"/>
      <c r="Y79" s="2"/>
      <c r="Z79" s="2"/>
      <c r="AA79" s="2"/>
      <c r="AB79" s="2"/>
    </row>
    <row r="80" spans="2:28" ht="18" hidden="1" x14ac:dyDescent="0.25">
      <c r="F80" s="2"/>
      <c r="G80" s="2"/>
      <c r="H80" s="2"/>
      <c r="I80" s="2"/>
      <c r="J80" s="1"/>
      <c r="K80" s="1"/>
      <c r="L80" s="1"/>
    </row>
    <row r="81" spans="2:28" ht="18" hidden="1" x14ac:dyDescent="0.25">
      <c r="B81" s="29"/>
      <c r="C81" s="29"/>
      <c r="D81" s="29"/>
      <c r="E81" s="29"/>
      <c r="F81" s="29"/>
      <c r="G81" s="29"/>
      <c r="H81" s="29"/>
      <c r="I81" s="29"/>
      <c r="J81" s="1"/>
      <c r="K81" s="1"/>
      <c r="L81" s="1"/>
      <c r="M81" s="35"/>
      <c r="N81" s="29"/>
      <c r="O81" s="29"/>
      <c r="P81" s="29"/>
      <c r="Q81" s="29"/>
      <c r="R81" s="29"/>
      <c r="S81" s="29"/>
      <c r="T81" s="29"/>
      <c r="U81" s="29"/>
      <c r="V81" s="29"/>
      <c r="W81" s="29"/>
      <c r="X81" s="29"/>
      <c r="Y81" s="29"/>
      <c r="Z81" s="29"/>
      <c r="AA81" s="29"/>
      <c r="AB81" s="29"/>
    </row>
    <row r="82" spans="2:28" ht="18" hidden="1" x14ac:dyDescent="0.25">
      <c r="F82" s="2"/>
      <c r="G82" s="2"/>
      <c r="H82" s="2"/>
      <c r="I82" s="2"/>
      <c r="J82" s="1"/>
      <c r="K82" s="1"/>
      <c r="L82" s="1"/>
    </row>
    <row r="83" spans="2:28" ht="18" hidden="1" x14ac:dyDescent="0.25">
      <c r="F83" s="2"/>
      <c r="G83" s="2"/>
      <c r="H83" s="2"/>
      <c r="I83" s="2"/>
      <c r="J83" s="1"/>
      <c r="K83" s="1"/>
      <c r="L83" s="1"/>
    </row>
    <row r="84" spans="2:28" ht="18" hidden="1" x14ac:dyDescent="0.25">
      <c r="F84" s="2"/>
      <c r="G84" s="2"/>
      <c r="H84" s="2"/>
      <c r="I84" s="2"/>
      <c r="J84" s="1"/>
      <c r="K84" s="1"/>
      <c r="L84" s="1"/>
    </row>
    <row r="85" spans="2:28" ht="18" hidden="1" x14ac:dyDescent="0.25">
      <c r="F85" s="2"/>
      <c r="G85" s="2"/>
      <c r="H85" s="2"/>
      <c r="I85" s="2"/>
      <c r="J85" s="1"/>
      <c r="K85" s="1"/>
      <c r="L85" s="1"/>
    </row>
    <row r="86" spans="2:28" ht="18" hidden="1" x14ac:dyDescent="0.25">
      <c r="F86" s="2"/>
      <c r="G86" s="2"/>
      <c r="H86" s="2"/>
      <c r="I86" s="2"/>
      <c r="J86" s="1"/>
      <c r="K86" s="1"/>
      <c r="L86" s="1"/>
    </row>
    <row r="87" spans="2:28" ht="18" hidden="1" x14ac:dyDescent="0.25">
      <c r="F87" s="2"/>
      <c r="G87" s="2"/>
      <c r="H87" s="2"/>
      <c r="I87" s="2"/>
      <c r="J87" s="1"/>
      <c r="K87" s="1"/>
      <c r="L87" s="1"/>
    </row>
    <row r="88" spans="2:28" ht="18" hidden="1" x14ac:dyDescent="0.25">
      <c r="F88" s="2"/>
      <c r="G88" s="2"/>
      <c r="H88" s="2"/>
      <c r="I88" s="2"/>
      <c r="J88" s="1"/>
      <c r="K88" s="1"/>
      <c r="L88" s="1"/>
    </row>
    <row r="89" spans="2:28" ht="18" hidden="1" x14ac:dyDescent="0.25">
      <c r="F89" s="2"/>
      <c r="G89" s="2"/>
      <c r="H89" s="2"/>
      <c r="I89" s="2"/>
      <c r="J89" s="1"/>
      <c r="K89" s="1"/>
      <c r="L89" s="1"/>
    </row>
    <row r="90" spans="2:28" ht="18" hidden="1" x14ac:dyDescent="0.25">
      <c r="F90" s="2"/>
      <c r="G90" s="2"/>
      <c r="H90" s="2"/>
      <c r="I90" s="2"/>
      <c r="J90" s="1"/>
      <c r="K90" s="1"/>
      <c r="L90" s="1"/>
    </row>
    <row r="91" spans="2:28" ht="18" hidden="1" x14ac:dyDescent="0.25">
      <c r="F91" s="2"/>
      <c r="G91" s="2"/>
      <c r="H91" s="2"/>
      <c r="I91" s="2"/>
      <c r="J91" s="1"/>
      <c r="K91" s="1"/>
      <c r="L91" s="1"/>
    </row>
    <row r="92" spans="2:28" ht="18" hidden="1" x14ac:dyDescent="0.25">
      <c r="F92" s="2"/>
      <c r="G92" s="2"/>
      <c r="H92" s="2"/>
      <c r="I92" s="2"/>
      <c r="J92" s="1"/>
      <c r="K92" s="1"/>
      <c r="L92" s="1"/>
    </row>
    <row r="93" spans="2:28" ht="18" hidden="1" x14ac:dyDescent="0.25">
      <c r="F93" s="2"/>
      <c r="G93" s="2"/>
      <c r="H93" s="2"/>
      <c r="I93" s="2"/>
      <c r="J93" s="1"/>
      <c r="K93" s="1"/>
      <c r="L93" s="1"/>
    </row>
    <row r="94" spans="2:28" ht="24" hidden="1" customHeight="1" x14ac:dyDescent="0.25">
      <c r="F94" s="2"/>
      <c r="G94" s="2"/>
      <c r="H94" s="2"/>
      <c r="I94" s="2"/>
      <c r="J94" s="1"/>
      <c r="K94" s="1"/>
      <c r="L94" s="1"/>
    </row>
    <row r="95" spans="2:28" ht="18" hidden="1" x14ac:dyDescent="0.25">
      <c r="F95" s="2"/>
      <c r="G95" s="2"/>
      <c r="H95" s="2"/>
      <c r="I95" s="2"/>
      <c r="J95" s="1"/>
      <c r="K95" s="1"/>
      <c r="L95" s="1"/>
    </row>
    <row r="96" spans="2:28" ht="24" hidden="1" customHeight="1" x14ac:dyDescent="0.25">
      <c r="F96" s="2"/>
      <c r="G96" s="2"/>
      <c r="H96" s="2"/>
      <c r="I96" s="2"/>
      <c r="J96" s="1"/>
      <c r="K96" s="1"/>
      <c r="L96" s="1"/>
    </row>
    <row r="97" spans="6:12" ht="18" hidden="1" x14ac:dyDescent="0.25">
      <c r="F97" s="2"/>
      <c r="G97" s="2"/>
      <c r="H97" s="2"/>
      <c r="I97" s="2"/>
      <c r="J97" s="1"/>
      <c r="K97" s="1"/>
      <c r="L97" s="1"/>
    </row>
    <row r="98" spans="6:12" ht="18" hidden="1" x14ac:dyDescent="0.25">
      <c r="F98" s="2"/>
      <c r="G98" s="2"/>
      <c r="H98" s="2"/>
      <c r="I98" s="2"/>
      <c r="J98" s="1"/>
      <c r="K98" s="1"/>
      <c r="L98" s="1"/>
    </row>
    <row r="99" spans="6:12" ht="18" hidden="1" x14ac:dyDescent="0.25">
      <c r="F99" s="2"/>
      <c r="G99" s="2"/>
      <c r="H99" s="2"/>
      <c r="I99" s="2"/>
      <c r="J99" s="1"/>
      <c r="K99" s="1"/>
      <c r="L99" s="1"/>
    </row>
    <row r="100" spans="6:12" ht="18" hidden="1" x14ac:dyDescent="0.25">
      <c r="F100" s="2"/>
      <c r="G100" s="2"/>
      <c r="H100" s="2"/>
      <c r="I100" s="2"/>
      <c r="J100" s="1"/>
      <c r="K100" s="1"/>
      <c r="L100" s="1"/>
    </row>
    <row r="101" spans="6:12" ht="18" hidden="1" x14ac:dyDescent="0.25">
      <c r="F101" s="2"/>
      <c r="G101" s="2"/>
      <c r="H101" s="2"/>
      <c r="I101" s="2"/>
      <c r="J101" s="1"/>
      <c r="K101" s="1"/>
      <c r="L101" s="1"/>
    </row>
    <row r="102" spans="6:12" ht="18" hidden="1" x14ac:dyDescent="0.25">
      <c r="F102" s="2"/>
      <c r="G102" s="2"/>
      <c r="H102" s="2"/>
      <c r="I102" s="2"/>
      <c r="J102" s="1"/>
      <c r="K102" s="1"/>
      <c r="L102" s="1"/>
    </row>
    <row r="103" spans="6:12" ht="18" hidden="1" x14ac:dyDescent="0.25">
      <c r="F103" s="2"/>
      <c r="G103" s="2"/>
      <c r="H103" s="2"/>
      <c r="I103" s="2"/>
      <c r="J103" s="1"/>
      <c r="K103" s="1"/>
      <c r="L103" s="1"/>
    </row>
    <row r="104" spans="6:12" ht="18" hidden="1" x14ac:dyDescent="0.25">
      <c r="F104" s="2"/>
      <c r="G104" s="2"/>
      <c r="H104" s="2"/>
      <c r="I104" s="2"/>
      <c r="J104" s="1"/>
      <c r="K104" s="1"/>
      <c r="L104" s="1"/>
    </row>
    <row r="105" spans="6:12" ht="18" hidden="1" x14ac:dyDescent="0.25">
      <c r="F105" s="2"/>
      <c r="G105" s="2"/>
      <c r="H105" s="2"/>
      <c r="I105" s="2"/>
      <c r="J105" s="1"/>
      <c r="K105" s="1"/>
      <c r="L105" s="1"/>
    </row>
    <row r="106" spans="6:12" ht="18" hidden="1" x14ac:dyDescent="0.25">
      <c r="F106" s="2"/>
      <c r="G106" s="2"/>
      <c r="H106" s="2"/>
      <c r="I106" s="2"/>
      <c r="J106" s="1"/>
      <c r="K106" s="1"/>
      <c r="L106" s="1"/>
    </row>
    <row r="107" spans="6:12" ht="18" hidden="1" x14ac:dyDescent="0.25">
      <c r="F107" s="2"/>
      <c r="G107" s="2"/>
      <c r="H107" s="2"/>
      <c r="I107" s="2"/>
      <c r="J107" s="1"/>
      <c r="K107" s="1"/>
      <c r="L107" s="1"/>
    </row>
    <row r="108" spans="6:12" ht="18" hidden="1" x14ac:dyDescent="0.25">
      <c r="F108" s="2"/>
      <c r="G108" s="2"/>
      <c r="H108" s="2"/>
      <c r="I108" s="2"/>
      <c r="J108" s="1"/>
      <c r="K108" s="1"/>
      <c r="L108" s="1"/>
    </row>
    <row r="109" spans="6:12" ht="18" hidden="1" x14ac:dyDescent="0.25">
      <c r="J109" s="1"/>
      <c r="K109" s="1"/>
      <c r="L109" s="1"/>
    </row>
    <row r="110" spans="6:12" ht="18" hidden="1" x14ac:dyDescent="0.25">
      <c r="J110" s="1"/>
      <c r="K110" s="1"/>
      <c r="L110" s="1"/>
    </row>
    <row r="111" spans="6:12" ht="18" hidden="1" x14ac:dyDescent="0.25">
      <c r="J111" s="1"/>
      <c r="K111" s="1"/>
      <c r="L111" s="1"/>
    </row>
    <row r="112" spans="6:12" ht="18" hidden="1" x14ac:dyDescent="0.25">
      <c r="J112" s="1"/>
      <c r="K112" s="1"/>
      <c r="L112" s="1"/>
    </row>
    <row r="113" spans="10:12" ht="18" hidden="1" x14ac:dyDescent="0.25">
      <c r="J113" s="1"/>
      <c r="K113" s="1"/>
      <c r="L113" s="1"/>
    </row>
    <row r="114" spans="10:12" ht="18" hidden="1" x14ac:dyDescent="0.25">
      <c r="J114" s="1"/>
      <c r="K114" s="1"/>
      <c r="L114" s="1"/>
    </row>
    <row r="115" spans="10:12" ht="18" hidden="1" x14ac:dyDescent="0.25">
      <c r="J115" s="1"/>
      <c r="K115" s="1"/>
      <c r="L115" s="1"/>
    </row>
    <row r="116" spans="10:12" ht="18" hidden="1" x14ac:dyDescent="0.25">
      <c r="J116" s="1"/>
      <c r="K116" s="1"/>
      <c r="L116" s="1"/>
    </row>
    <row r="117" spans="10:12" ht="18" hidden="1" x14ac:dyDescent="0.25">
      <c r="J117" s="1"/>
      <c r="K117" s="1"/>
      <c r="L117" s="1"/>
    </row>
    <row r="118" spans="10:12" ht="18" hidden="1" x14ac:dyDescent="0.25">
      <c r="J118" s="1"/>
      <c r="K118" s="1"/>
      <c r="L118" s="1"/>
    </row>
    <row r="119" spans="10:12" ht="18" hidden="1" x14ac:dyDescent="0.25">
      <c r="J119" s="1"/>
      <c r="K119" s="1"/>
      <c r="L119" s="1"/>
    </row>
    <row r="120" spans="10:12" ht="18" hidden="1" x14ac:dyDescent="0.25">
      <c r="J120" s="1"/>
      <c r="K120" s="1"/>
      <c r="L120" s="1"/>
    </row>
    <row r="121" spans="10:12" ht="18" hidden="1" x14ac:dyDescent="0.25">
      <c r="J121" s="1"/>
      <c r="K121" s="1"/>
      <c r="L121" s="1"/>
    </row>
    <row r="122" spans="10:12" ht="18" hidden="1" x14ac:dyDescent="0.25">
      <c r="J122" s="1"/>
      <c r="K122" s="1"/>
      <c r="L122" s="1"/>
    </row>
    <row r="123" spans="10:12" ht="18" hidden="1" x14ac:dyDescent="0.25">
      <c r="J123" s="1"/>
      <c r="K123" s="1"/>
      <c r="L123" s="1"/>
    </row>
    <row r="124" spans="10:12" ht="18" hidden="1" x14ac:dyDescent="0.25">
      <c r="J124" s="1"/>
      <c r="K124" s="1"/>
      <c r="L124" s="1"/>
    </row>
    <row r="125" spans="10:12" ht="18" hidden="1" x14ac:dyDescent="0.25">
      <c r="J125" s="1"/>
      <c r="K125" s="1"/>
      <c r="L125" s="1"/>
    </row>
    <row r="126" spans="10:12" ht="18" hidden="1" x14ac:dyDescent="0.25">
      <c r="J126" s="1"/>
      <c r="K126" s="1"/>
      <c r="L126" s="1"/>
    </row>
    <row r="127" spans="10:12" ht="18" hidden="1" x14ac:dyDescent="0.25">
      <c r="J127" s="1"/>
      <c r="K127" s="1"/>
      <c r="L127" s="1"/>
    </row>
    <row r="128" spans="10:12" ht="18" hidden="1" x14ac:dyDescent="0.25">
      <c r="J128" s="1"/>
      <c r="K128" s="1"/>
      <c r="L128" s="1"/>
    </row>
    <row r="129" spans="10:12" ht="18" hidden="1" x14ac:dyDescent="0.25">
      <c r="J129" s="1"/>
      <c r="K129" s="1"/>
      <c r="L129" s="1"/>
    </row>
    <row r="130" spans="10:12" ht="18" hidden="1" x14ac:dyDescent="0.25">
      <c r="J130" s="1"/>
      <c r="K130" s="1"/>
      <c r="L130" s="1"/>
    </row>
    <row r="131" spans="10:12" ht="18" hidden="1" x14ac:dyDescent="0.25">
      <c r="J131" s="1"/>
      <c r="K131" s="1"/>
      <c r="L131" s="1"/>
    </row>
    <row r="132" spans="10:12" ht="18" hidden="1" x14ac:dyDescent="0.25">
      <c r="J132" s="1"/>
      <c r="K132" s="1"/>
      <c r="L132" s="1"/>
    </row>
    <row r="133" spans="10:12" ht="18" hidden="1" x14ac:dyDescent="0.25">
      <c r="J133" s="1"/>
      <c r="K133" s="1"/>
      <c r="L133" s="1"/>
    </row>
    <row r="134" spans="10:12" ht="18" hidden="1" x14ac:dyDescent="0.25">
      <c r="J134" s="1"/>
      <c r="K134" s="1"/>
      <c r="L134" s="1"/>
    </row>
    <row r="135" spans="10:12" ht="18" hidden="1" x14ac:dyDescent="0.25">
      <c r="J135" s="1"/>
      <c r="K135" s="1"/>
      <c r="L135" s="1"/>
    </row>
    <row r="136" spans="10:12" ht="18" hidden="1" x14ac:dyDescent="0.25">
      <c r="J136" s="1"/>
      <c r="K136" s="1"/>
      <c r="L136" s="1"/>
    </row>
    <row r="137" spans="10:12" ht="18" hidden="1" x14ac:dyDescent="0.25">
      <c r="J137" s="1"/>
      <c r="K137" s="1"/>
      <c r="L137" s="1"/>
    </row>
    <row r="138" spans="10:12" ht="18" hidden="1" x14ac:dyDescent="0.25">
      <c r="J138" s="1"/>
      <c r="K138" s="1"/>
      <c r="L138" s="1"/>
    </row>
    <row r="139" spans="10:12" ht="18" hidden="1" x14ac:dyDescent="0.25">
      <c r="J139" s="1"/>
      <c r="K139" s="1"/>
      <c r="L139" s="1"/>
    </row>
    <row r="140" spans="10:12" ht="18" hidden="1" x14ac:dyDescent="0.25">
      <c r="J140" s="1"/>
      <c r="K140" s="1"/>
      <c r="L140" s="1"/>
    </row>
    <row r="141" spans="10:12" ht="18" hidden="1" x14ac:dyDescent="0.25">
      <c r="J141" s="1"/>
      <c r="K141" s="1"/>
      <c r="L141" s="1"/>
    </row>
    <row r="142" spans="10:12" ht="18" hidden="1" x14ac:dyDescent="0.25">
      <c r="J142" s="1"/>
      <c r="K142" s="1"/>
      <c r="L142" s="1"/>
    </row>
    <row r="143" spans="10:12" ht="18" hidden="1" x14ac:dyDescent="0.25">
      <c r="J143" s="1"/>
      <c r="K143" s="1"/>
      <c r="L143" s="1"/>
    </row>
    <row r="144" spans="10:12" ht="18" hidden="1" x14ac:dyDescent="0.25">
      <c r="J144" s="1"/>
      <c r="K144" s="1"/>
      <c r="L144" s="1"/>
    </row>
    <row r="145" spans="10:12" ht="18" hidden="1" x14ac:dyDescent="0.25">
      <c r="J145" s="1"/>
      <c r="K145" s="1"/>
      <c r="L145" s="1"/>
    </row>
    <row r="146" spans="10:12" ht="18" hidden="1" x14ac:dyDescent="0.25">
      <c r="J146" s="1"/>
      <c r="K146" s="1"/>
      <c r="L146" s="1"/>
    </row>
    <row r="147" spans="10:12" hidden="1" x14ac:dyDescent="0.2"/>
    <row r="148" spans="10:12" hidden="1" x14ac:dyDescent="0.2"/>
    <row r="149" spans="10:12" hidden="1" x14ac:dyDescent="0.2"/>
    <row r="150" spans="10:12" hidden="1" x14ac:dyDescent="0.2"/>
    <row r="151" spans="10:12" hidden="1" x14ac:dyDescent="0.2"/>
    <row r="152" spans="10:12" hidden="1" x14ac:dyDescent="0.2"/>
    <row r="153" spans="10:12" hidden="1" x14ac:dyDescent="0.2"/>
  </sheetData>
  <protectedRanges>
    <protectedRange sqref="E10 E12:G12 E6:E8 D4:E4 B37:G45 H18:I18 H28:I28 H31:I31 H20:I20 H22:I22 B60:I64 C57:I59" name="Input data_1"/>
    <protectedRange sqref="B57:B58" name="Input data_1_1_1"/>
    <protectedRange sqref="B59" name="Input data_1_2_1"/>
  </protectedRanges>
  <dataConsolidate/>
  <dataValidations count="2">
    <dataValidation type="list" showInputMessage="1" showErrorMessage="1" sqref="IZ12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E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E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E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E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E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E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E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E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E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E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E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E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E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E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E65545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#REF!</formula1>
    </dataValidation>
    <dataValidation showInputMessage="1" showErrorMessage="1" sqref="E12"/>
  </dataValidations>
  <pageMargins left="0.7" right="0.68"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bee4c5c-8f43-4f7f-9637-07f983ecca3d" ContentTypeId="0x0101007BD61AFCC8A643B8924AB3F7EE18260102" PreviousValue="false"/>
</file>

<file path=customXml/item4.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07B00C403447B443A85BBECB6883BAF2" ma:contentTypeVersion="16" ma:contentTypeDescription="Base content type for project documents" ma:contentTypeScope="" ma:versionID="9ecfb97580ff1c3869dd9ad815cede2b">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a6d79d3360fd7e79b86435f080ea67d7"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8bcbf31-a565-4d65-bc28-3f23800bc545}" ma:internalName="TaxCatchAll" ma:showField="CatchAllData"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8bcbf31-a565-4d65-bc28-3f23800bc545}" ma:internalName="TaxCatchAllLabel" ma:readOnly="true" ma:showField="CatchAllDataLabel"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382900-1703306554-3655</_dlc_DocId>
    <_dlc_DocIdUrl xmlns="980b2c76-4eb4-4926-991a-bb246786b55e">
      <Url>https://mottmac.sharepoint.com/teams/pj-b1092/_layouts/15/DocIdRedir.aspx?ID=382900-1703306554-3655</Url>
      <Description>382900-1703306554-3655</Description>
    </_dlc_DocIdUrl>
  </documentManagement>
</p:properties>
</file>

<file path=customXml/itemProps1.xml><?xml version="1.0" encoding="utf-8"?>
<ds:datastoreItem xmlns:ds="http://schemas.openxmlformats.org/officeDocument/2006/customXml" ds:itemID="{736E0576-2A64-4DCC-AD20-5E91C854A292}">
  <ds:schemaRefs>
    <ds:schemaRef ds:uri="http://schemas.microsoft.com/sharepoint/v3/contenttype/forms"/>
  </ds:schemaRefs>
</ds:datastoreItem>
</file>

<file path=customXml/itemProps2.xml><?xml version="1.0" encoding="utf-8"?>
<ds:datastoreItem xmlns:ds="http://schemas.openxmlformats.org/officeDocument/2006/customXml" ds:itemID="{F09C33A6-F309-4149-ABC9-AC6A87B6F20D}">
  <ds:schemaRefs>
    <ds:schemaRef ds:uri="http://schemas.microsoft.com/sharepoint/events"/>
  </ds:schemaRefs>
</ds:datastoreItem>
</file>

<file path=customXml/itemProps3.xml><?xml version="1.0" encoding="utf-8"?>
<ds:datastoreItem xmlns:ds="http://schemas.openxmlformats.org/officeDocument/2006/customXml" ds:itemID="{680A2640-8CDA-40D3-B265-9D9AF1691584}">
  <ds:schemaRefs>
    <ds:schemaRef ds:uri="Microsoft.SharePoint.Taxonomy.ContentTypeSync"/>
  </ds:schemaRefs>
</ds:datastoreItem>
</file>

<file path=customXml/itemProps4.xml><?xml version="1.0" encoding="utf-8"?>
<ds:datastoreItem xmlns:ds="http://schemas.openxmlformats.org/officeDocument/2006/customXml" ds:itemID="{DD4A27FC-5002-4399-A092-EEEDD94B2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9E0D165-48EB-4632-91AD-B3EA8406F3EA}">
  <ds:schemaRefs>
    <ds:schemaRef ds:uri="http://schemas.microsoft.com/sharepoint/v3"/>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980b2c76-4eb4-4926-991a-bb246786b55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206</vt:i4>
      </vt:variant>
    </vt:vector>
  </HeadingPairs>
  <TitlesOfParts>
    <vt:vector size="211" baseType="lpstr">
      <vt:lpstr>README</vt:lpstr>
      <vt:lpstr>Inputs</vt:lpstr>
      <vt:lpstr>Calculations</vt:lpstr>
      <vt:lpstr>Regional AQ - worksheet 2</vt:lpstr>
      <vt:lpstr>Output - worksheet 3</vt:lpstr>
      <vt:lpstr>Appraisal_period</vt:lpstr>
      <vt:lpstr>Appraisal_period_length</vt:lpstr>
      <vt:lpstr>Appraisal_period_length_in</vt:lpstr>
      <vt:lpstr>Change_forecast_year_exceedance</vt:lpstr>
      <vt:lpstr>Change_forecast_year_not_in_exceedance</vt:lpstr>
      <vt:lpstr>Change_in_PM10_net_total_assessment</vt:lpstr>
      <vt:lpstr>Change_NOx_emissions_in_exceedance</vt:lpstr>
      <vt:lpstr>Change_NOx_emissions_not_in_exceedance</vt:lpstr>
      <vt:lpstr>Change_opening_year_exceedance</vt:lpstr>
      <vt:lpstr>Change_opening_year_not_in_exceedance</vt:lpstr>
      <vt:lpstr>Current_year</vt:lpstr>
      <vt:lpstr>Current_year_in</vt:lpstr>
      <vt:lpstr>Custom_difference</vt:lpstr>
      <vt:lpstr>Custom_emissions_exceedance</vt:lpstr>
      <vt:lpstr>Custom_emissions_exceedance_in</vt:lpstr>
      <vt:lpstr>Custom_mask</vt:lpstr>
      <vt:lpstr>Custom_with_scheme_emissions</vt:lpstr>
      <vt:lpstr>Custom_without_scheme_emissions</vt:lpstr>
      <vt:lpstr>Difference_with_scheme_NOx_emissions</vt:lpstr>
      <vt:lpstr>Difference_with_scheme_PM10_concentrations</vt:lpstr>
      <vt:lpstr>Difference_without_scheme_NOx_emissions</vt:lpstr>
      <vt:lpstr>Difference_without_scheme_PM10_concentrations</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Exceedance_method</vt:lpstr>
      <vt:lpstr>Exceedance_method_in</vt:lpstr>
      <vt:lpstr>Extrapolation_mask</vt:lpstr>
      <vt:lpstr>Extrapolation_with_scheme_NOx_emissions_mask</vt:lpstr>
      <vt:lpstr>Extrapolation_with_scheme_PM10_concentrations_mask</vt:lpstr>
      <vt:lpstr>Extrapolation_without_scheme_NOx_emissions_mask</vt:lpstr>
      <vt:lpstr>Extrapolation_without_scheme_PM10_concentrations_mask</vt:lpstr>
      <vt:lpstr>Forecast_year</vt:lpstr>
      <vt:lpstr>Forecast_year_in</vt:lpstr>
      <vt:lpstr>Forecast_year_mask</vt:lpstr>
      <vt:lpstr>Calculations!Forecast_year_with_scheme_NOx_emissions</vt:lpstr>
      <vt:lpstr>Forecast_year_with_scheme_NOx_emissions_in</vt:lpstr>
      <vt:lpstr>Forecast_year_with_scheme_NOx_emissions_mask</vt:lpstr>
      <vt:lpstr>Forecast_year_with_scheme_PM10_concentrations</vt:lpstr>
      <vt:lpstr>Forecast_year_with_scheme_PM10_concentrations_in</vt:lpstr>
      <vt:lpstr>Forecast_year_with_scheme_PM10_concentrations_mask</vt:lpstr>
      <vt:lpstr>Calculations!Forecast_year_without_scheme_NOx_emissions</vt:lpstr>
      <vt:lpstr>Forecast_year_without_scheme_NOx_emissions_in</vt:lpstr>
      <vt:lpstr>Forecast_year_without_scheme_NOx_emissions_mask</vt:lpstr>
      <vt:lpstr>Forecast_year_without_scheme_PM10_concentrations</vt:lpstr>
      <vt:lpstr>Forecast_year_without_scheme_PM10_concentrations_in</vt:lpstr>
      <vt:lpstr>Forecast_year_without_scheme_PM10_concentrations_mask</vt:lpstr>
      <vt:lpstr>GDP_capita</vt:lpstr>
      <vt:lpstr>GDP_capita_base_values</vt:lpstr>
      <vt:lpstr>GDP_capita_in</vt:lpstr>
      <vt:lpstr>GDP_deflator</vt:lpstr>
      <vt:lpstr>GDP_deflator_base_values</vt:lpstr>
      <vt:lpstr>GDP_deflator_in</vt:lpstr>
      <vt:lpstr>GDP_deflator_outputs</vt:lpstr>
      <vt:lpstr>GDP_household</vt:lpstr>
      <vt:lpstr>GDP_household_base_values</vt:lpstr>
      <vt:lpstr>GDP_household_in</vt:lpstr>
      <vt:lpstr>Income_base_values</vt:lpstr>
      <vt:lpstr>Income_base_values_in</vt:lpstr>
      <vt:lpstr>Interpolation_mask</vt:lpstr>
      <vt:lpstr>Interpolation_period_length</vt:lpstr>
      <vt:lpstr>Interpolation_with_scheme_NOx_emissions_mask</vt:lpstr>
      <vt:lpstr>Interpolation_with_scheme_PM10_concentrations_mask</vt:lpstr>
      <vt:lpstr>Interpolation_without_scheme_NOx_emissions_mask</vt:lpstr>
      <vt:lpstr>Interpolation_without_scheme_PM10_concentrations_mask</vt:lpstr>
      <vt:lpstr>National_difference</vt:lpstr>
      <vt:lpstr>National_emissions_exceedance</vt:lpstr>
      <vt:lpstr>National_emissions_exceedance_in</vt:lpstr>
      <vt:lpstr>National_mask</vt:lpstr>
      <vt:lpstr>National_with_scheme_emissions</vt:lpstr>
      <vt:lpstr>National_without_scheme_emissions</vt:lpstr>
      <vt:lpstr>NOx_abatement_base_value_central</vt:lpstr>
      <vt:lpstr>NOx_abatement_base_value_central_in</vt:lpstr>
      <vt:lpstr>NOx_abatement_base_value_high</vt:lpstr>
      <vt:lpstr>NOx_abatement_base_value_high_in</vt:lpstr>
      <vt:lpstr>NOx_abatement_base_value_low</vt:lpstr>
      <vt:lpstr>NOx_abatement_base_value_low_in</vt:lpstr>
      <vt:lpstr>NOx_abatement_costs_central</vt:lpstr>
      <vt:lpstr>NOx_abatement_costs_high</vt:lpstr>
      <vt:lpstr>NOx_abatement_costs_low</vt:lpstr>
      <vt:lpstr>NOx_abatement_NPV_central</vt:lpstr>
      <vt:lpstr>NOx_abatement_NPV_high</vt:lpstr>
      <vt:lpstr>NOx_abatement_NPV_low</vt:lpstr>
      <vt:lpstr>NOx_benefits_in_exceedance_central</vt:lpstr>
      <vt:lpstr>NOx_benefits_in_exceedance_discounted_central</vt:lpstr>
      <vt:lpstr>NOx_benefits_in_exceedance_discounted_high</vt:lpstr>
      <vt:lpstr>NOx_benefits_in_exceedance_discounted_low</vt:lpstr>
      <vt:lpstr>NOx_benefits_in_exceedance_high</vt:lpstr>
      <vt:lpstr>NOx_benefits_in_exceedance_low</vt:lpstr>
      <vt:lpstr>NOx_benefits_not_in_exceedance_central</vt:lpstr>
      <vt:lpstr>NOx_benefits_not_in_exceedance_discounted_central</vt:lpstr>
      <vt:lpstr>NOx_benefits_not_in_exceedance_discounted_high</vt:lpstr>
      <vt:lpstr>NOx_benefits_not_in_exceedance_discounted_low</vt:lpstr>
      <vt:lpstr>NOx_benefits_not_in_exceedance_high</vt:lpstr>
      <vt:lpstr>NOx_benefits_not_in_exceedance_low</vt:lpstr>
      <vt:lpstr>NOx_damage_base_value_central</vt:lpstr>
      <vt:lpstr>NOx_damage_base_value_central_in</vt:lpstr>
      <vt:lpstr>NOx_damage_base_value_high</vt:lpstr>
      <vt:lpstr>NOx_damage_base_value_high_in</vt:lpstr>
      <vt:lpstr>NOx_damage_base_value_low</vt:lpstr>
      <vt:lpstr>NOx_damage_base_value_low_in</vt:lpstr>
      <vt:lpstr>NOx_damage_costs_central</vt:lpstr>
      <vt:lpstr>NOx_damage_costs_high</vt:lpstr>
      <vt:lpstr>NOx_damage_costs_high_in</vt:lpstr>
      <vt:lpstr>NOx_damage_costs_low</vt:lpstr>
      <vt:lpstr>NOx_damage_NPV_central</vt:lpstr>
      <vt:lpstr>NOx_damage_NPV_high</vt:lpstr>
      <vt:lpstr>NOx_damage_NPV_low</vt:lpstr>
      <vt:lpstr>NOx_emissions_TOTAL_change</vt:lpstr>
      <vt:lpstr>NOx_exceedance_emission_table</vt:lpstr>
      <vt:lpstr>NOx_not_in_exceedance_emission_table</vt:lpstr>
      <vt:lpstr>NOx_NPV_central</vt:lpstr>
      <vt:lpstr>NOx_NPV_high</vt:lpstr>
      <vt:lpstr>NOx_NPV_low</vt:lpstr>
      <vt:lpstr>NPV_central</vt:lpstr>
      <vt:lpstr>NPV_high</vt:lpstr>
      <vt:lpstr>NPV_low</vt:lpstr>
      <vt:lpstr>Opening_year</vt:lpstr>
      <vt:lpstr>Opening_year_in</vt:lpstr>
      <vt:lpstr>Opening_year_mask</vt:lpstr>
      <vt:lpstr>Opening_year_net_route_assessment</vt:lpstr>
      <vt:lpstr>Calculations!Opening_year_with_scheme_NOx_emissions</vt:lpstr>
      <vt:lpstr>Opening_year_with_scheme_NOx_emissions_in</vt:lpstr>
      <vt:lpstr>Opening_year_with_scheme_NOx_emissions_mask</vt:lpstr>
      <vt:lpstr>Opening_year_with_scheme_PM10_concentrations</vt:lpstr>
      <vt:lpstr>Opening_year_with_scheme_PM10_concentrations_in</vt:lpstr>
      <vt:lpstr>Opening_year_with_scheme_PM10_concentrations_mask</vt:lpstr>
      <vt:lpstr>Calculations!Opening_year_without_scheme_NOx_emissions</vt:lpstr>
      <vt:lpstr>Opening_year_without_scheme_NOx_emissions_in</vt:lpstr>
      <vt:lpstr>Opening_year_without_scheme_NOx_emissions_mask</vt:lpstr>
      <vt:lpstr>Opening_year_without_scheme_PM10_concentrations</vt:lpstr>
      <vt:lpstr>Opening_year_without_scheme_PM10_concentrations_in</vt:lpstr>
      <vt:lpstr>Opening_year_without_scheme_PM10_concentrations_mask</vt:lpstr>
      <vt:lpstr>PM10_benefits_central</vt:lpstr>
      <vt:lpstr>PM10_benefits_discounted_central</vt:lpstr>
      <vt:lpstr>PM10_benefits_discounted_high</vt:lpstr>
      <vt:lpstr>PM10_benefits_discounted_low</vt:lpstr>
      <vt:lpstr>PM10_benefits_high</vt:lpstr>
      <vt:lpstr>PM10_benefits_low</vt:lpstr>
      <vt:lpstr>PM10_damage_base_value_central</vt:lpstr>
      <vt:lpstr>PM10_damage_base_value_central_in</vt:lpstr>
      <vt:lpstr>PM10_damage_base_value_high</vt:lpstr>
      <vt:lpstr>PM10_damage_base_value_high_in</vt:lpstr>
      <vt:lpstr>PM10_damage_base_value_low</vt:lpstr>
      <vt:lpstr>PM10_damage_base_value_low_in</vt:lpstr>
      <vt:lpstr>PM10_damage_costs_central</vt:lpstr>
      <vt:lpstr>PM10_damage_costs_high</vt:lpstr>
      <vt:lpstr>PM10_damage_costs_low</vt:lpstr>
      <vt:lpstr>PM10_damage_costs_low_in</vt:lpstr>
      <vt:lpstr>PM10_damage_NPV_central</vt:lpstr>
      <vt:lpstr>PM10_damage_NPV_high</vt:lpstr>
      <vt:lpstr>PM10_damage_NPV_low</vt:lpstr>
      <vt:lpstr>Price_adjustment</vt:lpstr>
      <vt:lpstr>Price_base_outputs</vt:lpstr>
      <vt:lpstr>Price_base_outputs_in</vt:lpstr>
      <vt:lpstr>Price_base_values</vt:lpstr>
      <vt:lpstr>Price_base_values_in</vt:lpstr>
      <vt:lpstr>PV_base_year</vt:lpstr>
      <vt:lpstr>PV_base_year_in</vt:lpstr>
      <vt:lpstr>Rail_difference</vt:lpstr>
      <vt:lpstr>Rail_emissions_exceedance</vt:lpstr>
      <vt:lpstr>Rail_emissions_exceedance_in</vt:lpstr>
      <vt:lpstr>Rail_mask</vt:lpstr>
      <vt:lpstr>Rail_with_scheme_emissions</vt:lpstr>
      <vt:lpstr>Rail_without_scheme_emissions</vt:lpstr>
      <vt:lpstr>Scheme_name</vt:lpstr>
      <vt:lpstr>Scheme_type</vt:lpstr>
      <vt:lpstr>TOTAL_emissions_change_60years</vt:lpstr>
      <vt:lpstr>Total_with_scheme_NOx_emissions</vt:lpstr>
      <vt:lpstr>Total_with_scheme_PM10_concentrations</vt:lpstr>
      <vt:lpstr>Total_without_scheme_NOx_emissions</vt:lpstr>
      <vt:lpstr>Total_without_scheme_PM10_concentrations</vt:lpstr>
      <vt:lpstr>Uprating_table</vt:lpstr>
      <vt:lpstr>Urban_difference</vt:lpstr>
      <vt:lpstr>Urban_emission_exceedance_in</vt:lpstr>
      <vt:lpstr>Urban_emissions_exceedance</vt:lpstr>
      <vt:lpstr>Urban_mask</vt:lpstr>
      <vt:lpstr>Urban_with_scheme_emissions</vt:lpstr>
      <vt:lpstr>Urban_without_scheme_emissions</vt:lpstr>
      <vt:lpstr>With_scheme_forecast_year_exceedance</vt:lpstr>
      <vt:lpstr>With_scheme_forecast_year_not_in_exceedance</vt:lpstr>
      <vt:lpstr>With_scheme_NOx_emissions_in_exceedance</vt:lpstr>
      <vt:lpstr>With_scheme_NOx_emissions_not_in_exceedance</vt:lpstr>
      <vt:lpstr>With_scheme_opening_year_exceedance</vt:lpstr>
      <vt:lpstr>With_scheme_opening_year_not_in_exceedance</vt:lpstr>
      <vt:lpstr>Without_scheme_forecast_year_exceedance</vt:lpstr>
      <vt:lpstr>Without_scheme_forecast_year_not_in_exceedance</vt:lpstr>
      <vt:lpstr>Without_scheme_NOx_emissions_in_exceedance</vt:lpstr>
      <vt:lpstr>Without_scheme_NOx_emissions_not_in_exceedance</vt:lpstr>
      <vt:lpstr>Without_scheme_opening_year_exceedance</vt:lpstr>
      <vt:lpstr>Without_scheme_opening_year_not_in_exceedance</vt:lpstr>
      <vt:lpstr>Calculations!year</vt:lpstr>
    </vt:vector>
  </TitlesOfParts>
  <Company>DfT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Marcus.Spray@dft.gsi.gov.uk</dc:creator>
  <cp:lastModifiedBy>Allen, Frank</cp:lastModifiedBy>
  <cp:lastPrinted>2015-03-06T14:17:15Z</cp:lastPrinted>
  <dcterms:created xsi:type="dcterms:W3CDTF">2014-12-05T14:25:17Z</dcterms:created>
  <dcterms:modified xsi:type="dcterms:W3CDTF">2018-01-16T11:44:43Z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0x0101007BD61AFCC8A643B8924AB3F7EE182601020007B00C403447B443A85BBECB6883BAF2</vt:lpwstr>
  </property>
  <property fmtid="{D5CDD505-2E9C-101B-9397-08002B2CF9AE}" pid="3" name="_dlc_DocIdItemGuid">
    <vt:lpwstr>1f718308-9f24-4c45-9db4-35ddaed0db77</vt:lpwstr>
  </property>
  <property fmtid="{D5CDD505-2E9C-101B-9397-08002B2CF9AE}" pid="4" name="TaxKeyword">
    <vt:lpwstr/>
  </property>
</Properties>
</file>