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650" yWindow="1710" windowWidth="20730" windowHeight="11700" activeTab="4"/>
  </bookViews>
  <sheets>
    <sheet name="README" sheetId="9" r:id="rId1"/>
    <sheet name="Input" sheetId="1" r:id="rId2"/>
    <sheet name="Calculation" sheetId="2" r:id="rId3"/>
    <sheet name="QA" sheetId="11" state="hidden" r:id="rId4"/>
    <sheet name="Output - worksheet 1" sheetId="8" r:id="rId5"/>
  </sheets>
  <definedNames>
    <definedName name="amenity_1_to_3_dB_band_45">Calculation!$D$167:$AQ$167</definedName>
    <definedName name="amenity_1_to_3_dB_band_45_48">Calculation!$D$168:$AQ$168</definedName>
    <definedName name="amenity_1_to_3_dB_band_48_51">Calculation!$D$169:$AQ$169</definedName>
    <definedName name="amenity_1_to_3_dB_band_51_54">Calculation!$D$170:$AQ$170</definedName>
    <definedName name="amenity_1_to_3_dB_band_54_57">Calculation!$D$171:$AQ$171</definedName>
    <definedName name="amenity_1_to_3_dB_band_57_60">Calculation!$D$172:$AQ$172</definedName>
    <definedName name="amenity_1_to_3_dB_band_60_63">Calculation!$D$173:$AQ$173</definedName>
    <definedName name="amenity_1_to_3_dB_band_63_66">Calculation!$D$174:$AQ$174</definedName>
    <definedName name="amenity_1_to_3_dB_band_66_69">Calculation!$D$175:$AQ$175</definedName>
    <definedName name="amenity_1_to_3_dB_band_69_72">Calculation!$D$176:$AQ$176</definedName>
    <definedName name="amenity_1_to_3_dB_band_72_75">Calculation!$D$177:$AQ$177</definedName>
    <definedName name="amenity_1_to_3_dB_band_75_78">Calculation!$D$178:$AQ$178</definedName>
    <definedName name="amenity_1_to_3_dB_band_78_81">Calculation!$D$179:$AQ$179</definedName>
    <definedName name="Amenity_values_1dB_table">Calculation!$D$164:$AQ$164</definedName>
    <definedName name="Amenity_values_3dB_table">Calculation!$D$182:$P$183</definedName>
    <definedName name="Amenity_values_aviation_1dB">Calculation!$D$160:$AQ$160</definedName>
    <definedName name="Amenity_values_aviation_1dB_in">Input!$D$128:$AQ$128</definedName>
    <definedName name="Amenity_values_rail_1dB">Calculation!$D$159:$AQ$159</definedName>
    <definedName name="Amenity_values_rail_1dB_in">Input!$D$115:$AQ$115</definedName>
    <definedName name="Amenity_values_road_1dB">Calculation!$D$158:$AQ$158</definedName>
    <definedName name="Amenity_values_road_1dB_in">Input!$D$102:$AQ$102</definedName>
    <definedName name="AMI_1_to_3_dB_band_45">Calculation!$D$215:$AQ$215</definedName>
    <definedName name="AMI_1_to_3_dB_band_45_48">Calculation!$D$216:$AQ$216</definedName>
    <definedName name="AMI_1_to_3_dB_band_48_51">Calculation!$D$217:$AQ$217</definedName>
    <definedName name="AMI_1_to_3_dB_band_51_54">Calculation!$D$218:$AQ$218</definedName>
    <definedName name="AMI_1_to_3_dB_band_54_57">Calculation!$D$219:$AQ$219</definedName>
    <definedName name="AMI_1_to_3_dB_band_57_60">Calculation!$D$220:$AQ$220</definedName>
    <definedName name="AMI_1_to_3_dB_band_60_63">Calculation!$D$221:$AQ$221</definedName>
    <definedName name="AMI_1_to_3_dB_band_63_66">Calculation!$D$222:$AQ$222</definedName>
    <definedName name="AMI_1_to_3_dB_band_66_69">Calculation!$D$223:$AQ$223</definedName>
    <definedName name="AMI_1_to_3_dB_band_69_72">Calculation!$D$224:$AQ$224</definedName>
    <definedName name="AMI_1_to_3_dB_band_72_75">Calculation!$D$225:$AQ$225</definedName>
    <definedName name="AMI_1_to_3_dB_band_75_78">Calculation!$D$226:$AQ$226</definedName>
    <definedName name="AMI_1_to_3_dB_band_78_81">Calculation!$D$227:$AQ$227</definedName>
    <definedName name="AMI_values_1dB_table">Calculation!$D$212:$AQ$212</definedName>
    <definedName name="AMI_values_3dB_table">Calculation!$D$230:$P$231</definedName>
    <definedName name="AMI_values_aviation_1dB">Calculation!$D$208:$AQ$208</definedName>
    <definedName name="AMI_values_aviation_1dB_in">Input!$D$129:$AQ$129</definedName>
    <definedName name="AMI_values_rail_1dB">Calculation!$D$207:$AQ$207</definedName>
    <definedName name="AMI_values_rail_1dB_in">Input!$D$116:$AQ$116</definedName>
    <definedName name="AMI_values_road_1dB">Calculation!$D$206:$AQ$206</definedName>
    <definedName name="AMI_values_road_1dB_in">Input!$D$103:$AQ$103</definedName>
    <definedName name="Annual_amenity_valuation">Calculation!$D$655:$CP$655</definedName>
    <definedName name="Annual_amenity_valuation_hh_adj">Calculation!$D$669:$CP$669</definedName>
    <definedName name="Annual_AMI_valuation">Calculation!$D$656:$CP$656</definedName>
    <definedName name="Annual_AMI_valuation_hh_adj">Calculation!$D$670:$CP$670</definedName>
    <definedName name="Annual_dementia_valuation">Calculation!$D$658:$CP$658</definedName>
    <definedName name="Annual_dementia_valuation_hh_adj">Calculation!$D$672:$CP$672</definedName>
    <definedName name="Annual_sleep_disturbance_valuation">Calculation!$D$654:$CP$654</definedName>
    <definedName name="Annual_sleep_disturbance_valuation_hh_adj">Calculation!$D$668:$CP$668</definedName>
    <definedName name="Annual_stroke_valuation">Calculation!$D$657:$CP$657</definedName>
    <definedName name="Annual_stroke_valuation_hh_adj">Calculation!$D$671:$CP$671</definedName>
    <definedName name="Appraisal_period">Calculation!$D$585:$CP$585</definedName>
    <definedName name="Appraisal_period_length">Calculation!$C$579</definedName>
    <definedName name="Appraisal_period_length_in">Input!$D$141</definedName>
    <definedName name="Aviation_Lnight_mask">Calculation!$C$111</definedName>
    <definedName name="Aviation_mask">Calculation!$C$93</definedName>
    <definedName name="Current_year">Calculation!$C$678</definedName>
    <definedName name="Current_year_in">Input!$D$10</definedName>
    <definedName name="Default_HH_size">Calculation!$C$662</definedName>
    <definedName name="Default_HH_size_in">Input!$D$95</definedName>
    <definedName name="dementia_1_to_3_dB_band_45">Calculation!$D$311:$AQ$311</definedName>
    <definedName name="dementia_1_to_3_dB_band_45_48">Calculation!$D$312:$AQ$312</definedName>
    <definedName name="dementia_1_to_3_dB_band_48_51">Calculation!$D$313:$AQ$313</definedName>
    <definedName name="dementia_1_to_3_dB_band_51_54">Calculation!$D$314:$AQ$314</definedName>
    <definedName name="dementia_1_to_3_dB_band_54_57">Calculation!$D$315:$AQ$315</definedName>
    <definedName name="dementia_1_to_3_dB_band_57_60">Calculation!$D$316:$AQ$316</definedName>
    <definedName name="dementia_1_to_3_dB_band_60_63">Calculation!$D$317:$AQ$317</definedName>
    <definedName name="dementia_1_to_3_dB_band_63_66">Calculation!$D$318:$AQ$318</definedName>
    <definedName name="dementia_1_to_3_dB_band_66_69">Calculation!$D$319:$AQ$319</definedName>
    <definedName name="dementia_1_to_3_dB_band_69_72">Calculation!$D$320:$AQ$320</definedName>
    <definedName name="dementia_1_to_3_dB_band_72_75">Calculation!$D$321:$AQ$321</definedName>
    <definedName name="dementia_1_to_3_dB_band_75_78">Calculation!$D$322:$AQ$322</definedName>
    <definedName name="dementia_1_to_3_dB_band_78_81">Calculation!$D$323:$AQ$323</definedName>
    <definedName name="Dementia_values_1dB_table">Calculation!$D$308:$AQ$308</definedName>
    <definedName name="Dementia_values_3dB_table">Calculation!$D$326:$P$327</definedName>
    <definedName name="Dementia_values_aviation_1dB">Calculation!$D$304:$AQ$304</definedName>
    <definedName name="Dementia_values_aviation_1db_in">Input!$D$131:$AQ$131</definedName>
    <definedName name="Dementia_values_rail_1dB">Calculation!$D$303:$AQ$303</definedName>
    <definedName name="Dementia_values_rail_1db_in">Input!$D$118:$AQ$118</definedName>
    <definedName name="Dementia_values_road_1dB">Calculation!$D$302:$AQ$302</definedName>
    <definedName name="Dementia_values_road_1db_in">Input!$D$105:$AQ$105</definedName>
    <definedName name="Difference_amenity_cost">Calculation!$C$434</definedName>
    <definedName name="Difference_AMI_cost">Calculation!$C$478</definedName>
    <definedName name="Difference_dementia_cost">Calculation!$C$566</definedName>
    <definedName name="Difference_sleep_disturbance_cost">Calculation!$C$390</definedName>
    <definedName name="Difference_stroke_cost">Calculation!$C$522</definedName>
    <definedName name="Discount_factor">Calculation!$B$698:$CP$698</definedName>
    <definedName name="Discount_period_1">Calculation!$C$680</definedName>
    <definedName name="Discount_period_1_in">Input!$D$145</definedName>
    <definedName name="Discount_period_1_mask">Calculation!$D$686:$CP$686</definedName>
    <definedName name="Discount_period_2">Calculation!$C$681</definedName>
    <definedName name="Discount_period_2_in">Input!$D$146</definedName>
    <definedName name="Discount_period_2_mask">Calculation!$D$687:$CP$687</definedName>
    <definedName name="Discount_period_3">Calculation!$C$682</definedName>
    <definedName name="Discount_period_3_in">Input!$D$147</definedName>
    <definedName name="Discount_period_3_mask">Calculation!$D$688:$CP$688</definedName>
    <definedName name="Discount_rate_1">Calculation!$C$692</definedName>
    <definedName name="Discount_rate_1_in">Input!$D$148</definedName>
    <definedName name="Discount_rate_2">Calculation!$C$693</definedName>
    <definedName name="Discount_rate_2_in">Input!$D$149</definedName>
    <definedName name="Discount_rate_3">Calculation!$C$694</definedName>
    <definedName name="Discount_rate_3_in">Input!$D$150</definedName>
    <definedName name="Discount_rate_profile">Calculation!$D$697:$CP$697</definedName>
    <definedName name="Discounted_annual_amenity_valuation">Calculation!$D$705:$CP$705</definedName>
    <definedName name="Discounted_annual_AMI_valuation">Calculation!$D$706:$CP$706</definedName>
    <definedName name="Discounted_annual_dementia_valuation">Calculation!$D$708:$CP$708</definedName>
    <definedName name="Discounted_annual_sleep_disturbance_valuation">Calculation!$D$704:$CP$704</definedName>
    <definedName name="Discounted_annual_stroke_valuation">Calculation!$D$707:$CP$707</definedName>
    <definedName name="Extrapolation_amenity_cost_mask">Calculation!$D$604:$CP$604</definedName>
    <definedName name="Extrapolation_AMI_cost_mask">Calculation!$D$613:$CP$613</definedName>
    <definedName name="Extrapolation_dementia_cost_mask">Calculation!$D$631:$CP$631</definedName>
    <definedName name="Extrapolation_mask">Calculation!$D$583:$CP$583</definedName>
    <definedName name="Extrapolation_sleep_disturbance_cost_mask">Calculation!$D$595:$CP$595</definedName>
    <definedName name="Extrapolation_sleep_disturbance_mask">Calculation!$D$595:$CP$595</definedName>
    <definedName name="Extrapolation_stroke_cost_mask">Calculation!$D$622:$CP$622</definedName>
    <definedName name="Forecast_and_opening_year_difference">Calculation!$C$578</definedName>
    <definedName name="Forecast_HH_decreased_noise_day">Calculation!$D$59:$Q$59</definedName>
    <definedName name="Forecast_HH_decreased_noise_night">Calculation!$D$80:$Q$80</definedName>
    <definedName name="Forecast_HH_increased_noise_day">Calculation!$V$44:$V$56</definedName>
    <definedName name="Forecast_HH_increased_noise_night">Calculation!$V$65:$V$77</definedName>
    <definedName name="Forecast_without_45_48_with_xx">Calculation!$D$45:$Q$45</definedName>
    <definedName name="Forecast_without_45_48_with_xx_amenity_cost">Calculation!$D$418:$Q$418</definedName>
    <definedName name="Forecast_without_45_48_with_xx_AMI_cost">Calculation!$D$462:$Q$462</definedName>
    <definedName name="Forecast_without_45_48_with_xx_composite_cost">QA!$D$41:$Q$41</definedName>
    <definedName name="Forecast_without_45_48_with_xx_cost">Calculation!$D$146:$Q$146</definedName>
    <definedName name="Forecast_without_45_48_with_xx_dementia_cost">Calculation!$D$550:$Q$550</definedName>
    <definedName name="Forecast_without_45_48_with_xx_in">Input!$D$60:$Q$60</definedName>
    <definedName name="Forecast_without_45_48_with_xx_night">Calculation!$D$66:$Q$66</definedName>
    <definedName name="Forecast_without_45_48_with_xx_night_in">Input!$D$77:$Q$77</definedName>
    <definedName name="Forecast_without_45_48_with_xx_sleep_disturbance_cost">Calculation!$D$374:$Q$374</definedName>
    <definedName name="Forecast_without_45_48_with_xx_stroke_cost">Calculation!$D$506:$Q$506</definedName>
    <definedName name="Forecast_without_45_with_xx">Calculation!$D$44:$Q$44</definedName>
    <definedName name="Forecast_without_45_with_xx_amenity_cost">Calculation!$D$417:$Q$417</definedName>
    <definedName name="Forecast_without_45_with_xx_AMI_cost">Calculation!$D$461:$Q$461</definedName>
    <definedName name="Forecast_without_45_with_xx_composite_cost">QA!$D$40:$Q$40</definedName>
    <definedName name="Forecast_without_45_with_xx_cost">Calculation!$D$145:$Q$145</definedName>
    <definedName name="Forecast_without_45_with_xx_dementia_cost">Calculation!$D$549:$Q$549</definedName>
    <definedName name="Forecast_without_45_with_xx_in">Input!$D$59:$Q$59</definedName>
    <definedName name="Forecast_without_45_with_xx_night">Calculation!$D$65:$Q$65</definedName>
    <definedName name="Forecast_without_45_with_xx_night_in">Input!$D$76:$Q$76</definedName>
    <definedName name="Forecast_without_45_with_xx_sleep_disturbance_cost">Calculation!$D$373:$Q$373</definedName>
    <definedName name="Forecast_without_45_with_xx_stroke_cost">Calculation!$D$505:$Q$505</definedName>
    <definedName name="Forecast_without_48_51_with_xx">Calculation!$D$46:$Q$46</definedName>
    <definedName name="Forecast_without_48_51_with_xx_amenity_cost">Calculation!$D$419:$Q$419</definedName>
    <definedName name="Forecast_without_48_51_with_xx_AMI_cost">Calculation!$D$463:$Q$463</definedName>
    <definedName name="Forecast_without_48_51_with_xx_composite_cost">QA!$D$42:$Q$42</definedName>
    <definedName name="Forecast_without_48_51_with_xx_cost">Calculation!$D$147:$Q$147</definedName>
    <definedName name="Forecast_without_48_51_with_xx_dementia_cost">Calculation!$D$551:$Q$551</definedName>
    <definedName name="Forecast_without_48_51_with_xx_in">Input!$D$61:$Q$61</definedName>
    <definedName name="Forecast_without_48_51_with_xx_night">Calculation!$D$67:$Q$67</definedName>
    <definedName name="Forecast_without_48_51_with_xx_night_in">Input!$D$78:$Q$78</definedName>
    <definedName name="Forecast_without_48_51_with_xx_sleep_disturbance_cost">Calculation!$D$375:$Q$375</definedName>
    <definedName name="Forecast_without_48_51_with_xx_stroke_cost">Calculation!$D$507:$Q$507</definedName>
    <definedName name="Forecast_without_51_54_with_xx">Calculation!$D$47:$Q$47</definedName>
    <definedName name="Forecast_without_51_54_with_xx_amenity_cost">Calculation!$D$420:$Q$420</definedName>
    <definedName name="Forecast_without_51_54_with_xx_AMI_cost">Calculation!$D$464:$Q$464</definedName>
    <definedName name="Forecast_without_51_54_with_xx_composite_cost">QA!$D$43:$Q$43</definedName>
    <definedName name="Forecast_without_51_54_with_xx_cost">Calculation!$D$148:$Q$148</definedName>
    <definedName name="Forecast_without_51_54_with_xx_dementia_cost">Calculation!$D$552:$Q$552</definedName>
    <definedName name="Forecast_without_51_54_with_xx_in">Input!$D$62:$Q$62</definedName>
    <definedName name="Forecast_without_51_54_with_xx_night">Calculation!$D$68:$Q$68</definedName>
    <definedName name="Forecast_without_51_54_with_xx_night_in">Input!$D$79:$Q$79</definedName>
    <definedName name="Forecast_without_51_54_with_xx_sleep_disturbance_cost">Calculation!$D$376:$Q$376</definedName>
    <definedName name="Forecast_without_51_54_with_xx_stroke_cost">Calculation!$D$508:$Q$508</definedName>
    <definedName name="Forecast_without_54_57_with_xx">Calculation!$D$48:$Q$48</definedName>
    <definedName name="Forecast_without_54_57_with_xx_amenity_cost">Calculation!$D$421:$Q$421</definedName>
    <definedName name="Forecast_without_54_57_with_xx_AMI_cost">Calculation!$D$465:$Q$465</definedName>
    <definedName name="Forecast_without_54_57_with_xx_composite_cost">QA!$D$44:$Q$44</definedName>
    <definedName name="Forecast_without_54_57_with_xx_cost">Calculation!$D$149:$Q$149</definedName>
    <definedName name="Forecast_without_54_57_with_xx_dementia_cost">Calculation!$D$553:$Q$553</definedName>
    <definedName name="Forecast_without_54_57_with_xx_in">Input!$D$63:$Q$63</definedName>
    <definedName name="Forecast_without_54_57_with_xx_night">Calculation!$D$69:$Q$69</definedName>
    <definedName name="Forecast_without_54_57_with_xx_night_in">Input!$D$80:$Q$80</definedName>
    <definedName name="Forecast_without_54_57_with_xx_sleep_disturbance_cost">Calculation!$D$377:$Q$377</definedName>
    <definedName name="Forecast_without_54_57_with_xx_stroke_cost">Calculation!$D$509:$Q$509</definedName>
    <definedName name="Forecast_without_57_60_with_xx">Calculation!$D$49:$Q$49</definedName>
    <definedName name="Forecast_without_57_60_with_xx_amenity_cost">Calculation!$D$422:$Q$422</definedName>
    <definedName name="Forecast_without_57_60_with_xx_AMI_cost">Calculation!$D$466:$Q$466</definedName>
    <definedName name="Forecast_without_57_60_with_xx_composite_cost">QA!$D$45:$Q$45</definedName>
    <definedName name="Forecast_without_57_60_with_xx_cost">Calculation!$D$150:$Q$150</definedName>
    <definedName name="Forecast_without_57_60_with_xx_dementia_cost">Calculation!$D$554:$Q$554</definedName>
    <definedName name="Forecast_without_57_60_with_xx_in">Input!$D$64:$Q$64</definedName>
    <definedName name="Forecast_without_57_60_with_xx_night">Calculation!$D$70:$Q$70</definedName>
    <definedName name="Forecast_without_57_60_with_xx_night_in">Input!$D$81:$Q$81</definedName>
    <definedName name="Forecast_without_57_60_with_xx_sleep_disturbance_cost">Calculation!$D$378:$Q$378</definedName>
    <definedName name="Forecast_without_57_60_with_xx_stroke_cost">Calculation!$D$510:$Q$510</definedName>
    <definedName name="Forecast_without_60_63_with_xx">Calculation!$D$50:$Q$50</definedName>
    <definedName name="Forecast_without_60_63_with_xx_amenity_cost">Calculation!$D$423:$Q$423</definedName>
    <definedName name="Forecast_without_60_63_with_xx_AMI_cost">Calculation!$D$467:$Q$467</definedName>
    <definedName name="Forecast_without_60_63_with_xx_composite_cost">QA!$D$46:$Q$46</definedName>
    <definedName name="Forecast_without_60_63_with_xx_cost">Calculation!$D$151:$Q$151</definedName>
    <definedName name="Forecast_without_60_63_with_xx_dementia_cost">Calculation!$D$555:$Q$555</definedName>
    <definedName name="Forecast_without_60_63_with_xx_in">Input!$D$65:$Q$65</definedName>
    <definedName name="Forecast_without_60_63_with_xx_night">Calculation!$D$71:$Q$71</definedName>
    <definedName name="Forecast_without_60_63_with_xx_night_in">Input!$D$82:$Q$82</definedName>
    <definedName name="Forecast_without_60_63_with_xx_sleep_disturbance_cost">Calculation!$D$379:$Q$379</definedName>
    <definedName name="Forecast_without_60_63_with_xx_stroke_cost">Calculation!$D$511:$Q$511</definedName>
    <definedName name="Forecast_without_63_66_with_xx">Calculation!$D$51:$Q$51</definedName>
    <definedName name="Forecast_without_63_66_with_xx_amenity_cost">Calculation!$D$424:$Q$424</definedName>
    <definedName name="Forecast_without_63_66_with_xx_AMI_cost">Calculation!$D$468:$Q$468</definedName>
    <definedName name="Forecast_without_63_66_with_xx_composite_cost">QA!$D$47:$Q$47</definedName>
    <definedName name="Forecast_without_63_66_with_xx_cost">Calculation!$D$152:$Q$152</definedName>
    <definedName name="Forecast_without_63_66_with_xx_dementia_cost">Calculation!$D$556:$Q$556</definedName>
    <definedName name="Forecast_without_63_66_with_xx_in">Input!$D$66:$Q$66</definedName>
    <definedName name="Forecast_without_63_66_with_xx_night">Calculation!$D$72:$Q$72</definedName>
    <definedName name="Forecast_without_63_66_with_xx_night_in">Input!$D$83:$Q$83</definedName>
    <definedName name="Forecast_without_63_66_with_xx_sleep_disturbance_cost">Calculation!$D$380:$Q$380</definedName>
    <definedName name="Forecast_without_63_66_with_xx_stroke_cost">Calculation!$D$512:$Q$512</definedName>
    <definedName name="Forecast_without_66_69_with_xx">Calculation!$D$52:$Q$52</definedName>
    <definedName name="Forecast_without_66_69_with_xx_amenity_cost">Calculation!$D$425:$Q$425</definedName>
    <definedName name="Forecast_without_66_69_with_xx_AMI_cost">Calculation!$D$469:$Q$469</definedName>
    <definedName name="Forecast_without_66_69_with_xx_composite_cost">QA!$D$48:$Q$48</definedName>
    <definedName name="Forecast_without_66_69_with_xx_cost">Calculation!$D$153:$Q$153</definedName>
    <definedName name="Forecast_without_66_69_with_xx_dementia_cost">Calculation!$D$557:$Q$557</definedName>
    <definedName name="Forecast_without_66_69_with_xx_in">Input!$D$67:$Q$67</definedName>
    <definedName name="Forecast_without_66_69_with_xx_night">Calculation!$D$73:$Q$73</definedName>
    <definedName name="Forecast_without_66_69_with_xx_night_in">Input!$D$84:$Q$84</definedName>
    <definedName name="Forecast_without_66_69_with_xx_sleep_disturbance_cost">Calculation!$D$381:$Q$381</definedName>
    <definedName name="Forecast_without_66_69_with_xx_stroke_cost">Calculation!$D$513:$Q$513</definedName>
    <definedName name="Forecast_without_69_72_with_xx">Calculation!$D$53:$Q$53</definedName>
    <definedName name="Forecast_without_69_72_with_xx_amenity_cost">Calculation!$D$426:$Q$426</definedName>
    <definedName name="Forecast_without_69_72_with_xx_AMI_cost">Calculation!$D$470:$Q$470</definedName>
    <definedName name="Forecast_without_69_72_with_xx_composite_cost">QA!$D$49:$Q$49</definedName>
    <definedName name="Forecast_without_69_72_with_xx_cost">Calculation!$D$154:$Q$154</definedName>
    <definedName name="Forecast_without_69_72_with_xx_dementia_cost">Calculation!$D$558:$Q$558</definedName>
    <definedName name="Forecast_without_69_72_with_xx_in">Input!$D$68:$Q$68</definedName>
    <definedName name="Forecast_without_69_72_with_xx_night">Calculation!$D$74:$Q$74</definedName>
    <definedName name="Forecast_without_69_72_with_xx_night_in">Input!$D$85:$Q$85</definedName>
    <definedName name="Forecast_without_69_72_with_xx_sleep_disturbance_cost">Calculation!$D$382:$Q$382</definedName>
    <definedName name="Forecast_without_69_72_with_xx_stroke_cost">Calculation!$D$514:$Q$514</definedName>
    <definedName name="Forecast_without_72_75_with_xx">Calculation!$D$54:$Q$54</definedName>
    <definedName name="Forecast_without_72_75_with_xx_amenity_cost">Calculation!$D$427:$Q$427</definedName>
    <definedName name="Forecast_without_72_75_with_xx_AMI_cost">Calculation!$D$471:$Q$471</definedName>
    <definedName name="Forecast_without_72_75_with_xx_composite_cost">QA!$D$50:$Q$50</definedName>
    <definedName name="Forecast_without_72_75_with_xx_cost">Calculation!$D$155:$Q$155</definedName>
    <definedName name="Forecast_without_72_75_with_xx_dementia_cost">Calculation!$D$559:$Q$559</definedName>
    <definedName name="Forecast_without_72_75_with_xx_in">Input!$D$69:$Q$69</definedName>
    <definedName name="Forecast_without_72_75_with_xx_night">Calculation!$D$75:$Q$75</definedName>
    <definedName name="Forecast_without_72_75_with_xx_night_in">Input!$D$86:$Q$86</definedName>
    <definedName name="Forecast_without_72_75_with_xx_sleep_disturbance_cost">Calculation!$D$383:$Q$383</definedName>
    <definedName name="Forecast_without_72_75_with_xx_stroke_cost">Calculation!$D$515:$Q$515</definedName>
    <definedName name="Forecast_without_75_78_with_xx">Calculation!$D$55:$Q$55</definedName>
    <definedName name="Forecast_without_75_78_with_xx_amenity_cost">Calculation!$D$428:$Q$428</definedName>
    <definedName name="Forecast_without_75_78_with_xx_AMI_cost">Calculation!$D$472:$Q$472</definedName>
    <definedName name="Forecast_without_75_78_with_xx_composite_cost">QA!$D$51:$Q$51</definedName>
    <definedName name="Forecast_without_75_78_with_xx_dementia_cost">Calculation!$D$560:$Q$560</definedName>
    <definedName name="Forecast_without_75_78_with_xx_in">Input!$D$70:$Q$70</definedName>
    <definedName name="Forecast_without_75_78_with_xx_night">Calculation!$D$76:$Q$76</definedName>
    <definedName name="Forecast_without_75_78_with_xx_night_in">Input!$D$87:$Q$87</definedName>
    <definedName name="Forecast_without_75_78_with_xx_sleep_disturbance_cost">Calculation!$D$384:$Q$384</definedName>
    <definedName name="Forecast_without_75_78_with_xx_stroke_cost">Calculation!$D$516:$Q$516</definedName>
    <definedName name="Forecast_without_78_81_with_xx">Calculation!$D$56:$Q$56</definedName>
    <definedName name="Forecast_without_78_81_with_xx_amenity_cost">Calculation!$D$429:$Q$429</definedName>
    <definedName name="Forecast_without_78_81_with_xx_AMI_cost">Calculation!$D$473:$Q$473</definedName>
    <definedName name="Forecast_without_78_81_with_xx_composite_cost">QA!$D$52:$Q$52</definedName>
    <definedName name="Forecast_without_78_81_with_xx_dementia_cost">Calculation!$D$561:$Q$561</definedName>
    <definedName name="Forecast_without_78_81_with_xx_in">Input!$D$71:$Q$71</definedName>
    <definedName name="Forecast_without_78_81_with_xx_night">Calculation!$D$77:$Q$77</definedName>
    <definedName name="Forecast_without_78_81_with_xx_night_in">Input!$D$88:$Q$88</definedName>
    <definedName name="Forecast_without_78_81_with_xx_sleep_disturbance_cost">Calculation!$D$385:$Q$385</definedName>
    <definedName name="Forecast_without_78_81_with_xx_stroke_cost">Calculation!$D$517:$Q$517</definedName>
    <definedName name="Forecast_without_81_with_xx">Calculation!$D$57:$Q$57</definedName>
    <definedName name="Forecast_without_81_with_xx_amenity_cost">Calculation!$D$430:$Q$430</definedName>
    <definedName name="Forecast_without_81_with_xx_AMI_cost">Calculation!$D$474:$Q$474</definedName>
    <definedName name="Forecast_without_81_with_xx_composite_cost">QA!$D$53:$Q$53</definedName>
    <definedName name="Forecast_without_81_with_xx_dementia_cost">Calculation!$D$562:$Q$562</definedName>
    <definedName name="Forecast_without_81_with_xx_in">Input!$D$72:$Q$72</definedName>
    <definedName name="Forecast_without_81_with_xx_night">Calculation!$D$78:$Q$78</definedName>
    <definedName name="Forecast_without_81_with_xx_night_in">Input!$D$89:$Q$89</definedName>
    <definedName name="Forecast_without_81_with_xx_sleep_disturbance_cost">Calculation!$D$386:$Q$386</definedName>
    <definedName name="Forecast_without_81_with_xx_stroke_cost">Calculation!$D$518:$Q$518</definedName>
    <definedName name="Forecast_year">Calculation!$C$575</definedName>
    <definedName name="Forecast_year_amenity_cost">Calculation!$C$432</definedName>
    <definedName name="Forecast_year_amenity_cost_mask">Calculation!$D$602:$CP$602</definedName>
    <definedName name="Forecast_year_AMI_cost">Calculation!$C$476</definedName>
    <definedName name="Forecast_year_AMI_cost_mask">Calculation!$D$611:$CP$611</definedName>
    <definedName name="Forecast_year_composite_cost">QA!$C$55</definedName>
    <definedName name="Forecast_year_dementia_cost">Calculation!$C$564</definedName>
    <definedName name="Forecast_year_dementia_cost_mask">Calculation!$D$629:$CP$629</definedName>
    <definedName name="Forecast_year_in">Input!$D$8</definedName>
    <definedName name="Forecast_year_mask">Calculation!$D$576:$CP$576</definedName>
    <definedName name="Forecast_year_sleep_disturbance_cost">Calculation!$C$388</definedName>
    <definedName name="Forecast_year_sleep_disturbance_cost_mask">Calculation!$D$593:$CP$593</definedName>
    <definedName name="Forecast_year_sleep_disturbance_mask">Calculation!$D$593:$CP$593</definedName>
    <definedName name="Forecast_year_stroke_cost">Calculation!$C$520</definedName>
    <definedName name="Forecast_year_stroke_cost_mask">Calculation!$D$620:$CP$620</definedName>
    <definedName name="GDP_capita">Calculation!$D$638:$CP$638</definedName>
    <definedName name="GDP_capita_base">Calculation!$C$649</definedName>
    <definedName name="GDP_capita_in">Input!$D$156:$CP$156</definedName>
    <definedName name="GDP_deflator">Calculation!$D$637:$CP$637</definedName>
    <definedName name="GDP_deflator_base">Calculation!$C$641</definedName>
    <definedName name="GDP_deflator_base_values">Calculation!$C$644</definedName>
    <definedName name="GDP_deflator_in">Input!$D$155:$CP$155</definedName>
    <definedName name="GDP_deflator_outputs">Calculation!$C$644</definedName>
    <definedName name="Household_size_multiplier">Calculation!$D$665:$CP$665</definedName>
    <definedName name="Household_size_user_input">Calculation!$D$664:$CP$664</definedName>
    <definedName name="Household_size_user_input_in">Input!$D$160:$CP$160</definedName>
    <definedName name="Income_base_values">Calculation!$C$640</definedName>
    <definedName name="Income_base_values_in">Input!$D$93</definedName>
    <definedName name="Interpolation_amenity_cost_mask">Calculation!$D$603:$CP$603</definedName>
    <definedName name="Interpolation_AMI_cost_mask">Calculation!$D$612:$CP$612</definedName>
    <definedName name="Interpolation_dementia_cost_mask">Calculation!$D$630:$CP$630</definedName>
    <definedName name="Interpolation_mask">Calculation!$D$581:$CP$581</definedName>
    <definedName name="Interpolation_noise_cost_mask">Calculation!$D$197:$CP$197</definedName>
    <definedName name="Interpolation_sleep_disturbance_cost_mask">Calculation!$D$594:$CP$594</definedName>
    <definedName name="Interpolation_sleep_disturbance_mask">Calculation!$D$594:$CP$594</definedName>
    <definedName name="Interpolation_stroke_cost_mask">Calculation!$D$621:$CP$621</definedName>
    <definedName name="Night_impact_mask">Calculation!$C$97</definedName>
    <definedName name="Night_modelling_mask">Calculation!$C$102</definedName>
    <definedName name="Night_noise_impact" localSheetId="2">Calculation!$C$95</definedName>
    <definedName name="Night_noise_impact_in">Input!$D$14</definedName>
    <definedName name="Night_noise_modelling" localSheetId="2">Calculation!$C$100</definedName>
    <definedName name="Night_noise_modelling_in">Input!$D$16</definedName>
    <definedName name="Noise_1.5dB_band_values_table">Calculation!$D$54:$AC$56</definedName>
    <definedName name="Noise_3dB_band_values_table">Calculation!$D$63:$P$64</definedName>
    <definedName name="Noise_3dB_bands">Calculation!$D$281:$Q$281</definedName>
    <definedName name="noise_bands">Calculation!$D$68:$Q$68</definedName>
    <definedName name="Noise_values_1dB_table">Calculation!$D$48:$AQ$50</definedName>
    <definedName name="Noise_values_income_base">Calculation!$C$648</definedName>
    <definedName name="Noise_values_price_base">Calculation!$C$640</definedName>
    <definedName name="Non_night_impact_mask">Calculation!$C$98</definedName>
    <definedName name="Non_night_modelling_mask">Calculation!$C$103</definedName>
    <definedName name="Opening_without_45_48_with_xx">Calculation!$D$11:$Q$11</definedName>
    <definedName name="Opening_without_45_48_with_xx_amenity_cost">Calculation!$D$397:$Q$397</definedName>
    <definedName name="Opening_without_45_48_with_xx_AMI_cost">Calculation!$D$441:$Q$441</definedName>
    <definedName name="Opening_without_45_48_with_xx_composite_cost">QA!$D$21:$Q$21</definedName>
    <definedName name="Opening_without_45_48_with_xx_cost">Calculation!$D$114:$Q$114</definedName>
    <definedName name="Opening_without_45_48_with_xx_dementia_cost">Calculation!$D$529:$Q$529</definedName>
    <definedName name="Opening_without_45_48_with_xx_in">Input!$D$24:$Q$24</definedName>
    <definedName name="Opening_without_45_48_with_xx_night">Calculation!$D$28:$Q$28</definedName>
    <definedName name="Opening_without_45_48_with_xx_night_in">Input!$D$41:$Q$41</definedName>
    <definedName name="Opening_without_45_48_with_xx_sleep_disturbance_cost">Calculation!$D$353:$Q$353</definedName>
    <definedName name="Opening_without_45_48_with_xx_stroke_cost">Calculation!$D$485:$Q$485</definedName>
    <definedName name="Opening_without_45_with_xx">Calculation!$D$10:$Q$10</definedName>
    <definedName name="Opening_without_45_with_xx_amenity_cost">Calculation!$D$396:$Q$396</definedName>
    <definedName name="Opening_without_45_with_xx_AMI_cost">Calculation!$D$440:$Q$440</definedName>
    <definedName name="Opening_without_45_with_xx_composite_cost">QA!$D$20:$Q$20</definedName>
    <definedName name="Opening_without_45_with_xx_cost">Calculation!#REF!</definedName>
    <definedName name="Opening_without_45_with_xx_dementia_cost">Calculation!$D$528:$Q$528</definedName>
    <definedName name="Opening_without_45_with_xx_in">Input!$D$23:$Q$23</definedName>
    <definedName name="Opening_without_45_with_xx_night">Calculation!$D$27:$Q$27</definedName>
    <definedName name="Opening_without_45_with_xx_night_in">Input!$D$40:$Q$40</definedName>
    <definedName name="Opening_without_45_with_xx_sleep_disturbance_cost">Calculation!$D$352:$Q$352</definedName>
    <definedName name="Opening_without_45_with_xx_stroke_cost">Calculation!$D$484:$Q$484</definedName>
    <definedName name="Opening_without_48_51_with_xx">Calculation!$D$12:$Q$12</definedName>
    <definedName name="Opening_without_48_51_with_xx_amenity_cost">Calculation!$D$398:$Q$398</definedName>
    <definedName name="Opening_without_48_51_with_xx_AMI_cost">Calculation!$D$442:$Q$442</definedName>
    <definedName name="Opening_without_48_51_with_xx_composite_cost">QA!$D$22:$Q$22</definedName>
    <definedName name="Opening_without_48_51_with_xx_cost">Calculation!$D$115:$Q$115</definedName>
    <definedName name="Opening_without_48_51_with_xx_dementia_cost">Calculation!$D$530:$Q$530</definedName>
    <definedName name="Opening_without_48_51_with_xx_in">Input!$D$25:$Q$25</definedName>
    <definedName name="Opening_without_48_51_with_xx_night">Calculation!$D$29:$Q$29</definedName>
    <definedName name="Opening_without_48_51_with_xx_night_in">Input!$D$42:$Q$42</definedName>
    <definedName name="Opening_without_48_51_with_xx_sleep_disturbance_cost">Calculation!$D$354:$Q$354</definedName>
    <definedName name="Opening_without_48_51_with_xx_stroke_cost">Calculation!$D$486:$Q$486</definedName>
    <definedName name="Opening_without_51_54_with_xx">Calculation!$D$13:$Q$13</definedName>
    <definedName name="Opening_without_51_54_with_xx_amenity_cost">Calculation!$D$399:$Q$399</definedName>
    <definedName name="Opening_without_51_54_with_xx_AMI_cost">Calculation!$D$443:$Q$443</definedName>
    <definedName name="Opening_without_51_54_with_xx_composite_cost">QA!$D$23:$Q$23</definedName>
    <definedName name="Opening_without_51_54_with_xx_cost">Calculation!$D$116:$Q$116</definedName>
    <definedName name="Opening_without_51_54_with_xx_dementia_cost">Calculation!$D$531:$Q$531</definedName>
    <definedName name="Opening_without_51_54_with_xx_in">Input!$D$26:$Q$26</definedName>
    <definedName name="Opening_without_51_54_with_xx_night">Calculation!$D$30:$Q$30</definedName>
    <definedName name="Opening_without_51_54_with_xx_night_in">Input!$D$43:$Q$43</definedName>
    <definedName name="Opening_without_51_54_with_xx_sleep_disturbance_cost">Calculation!$D$355:$Q$355</definedName>
    <definedName name="Opening_without_51_54_with_xx_stroke_cost">Calculation!$D$487:$Q$487</definedName>
    <definedName name="Opening_without_54_57_with_xx">Calculation!$D$14:$Q$14</definedName>
    <definedName name="Opening_without_54_57_with_xx_amenity_cost">Calculation!$D$400:$Q$400</definedName>
    <definedName name="Opening_without_54_57_with_xx_AMI_cost">Calculation!$D$444:$Q$444</definedName>
    <definedName name="Opening_without_54_57_with_xx_composite_cost">QA!$D$24:$Q$24</definedName>
    <definedName name="Opening_without_54_57_with_xx_cost">Calculation!#REF!</definedName>
    <definedName name="Opening_without_54_57_with_xx_dementia_cost">Calculation!$D$532:$Q$532</definedName>
    <definedName name="Opening_without_54_57_with_xx_in">Input!$D$27:$Q$27</definedName>
    <definedName name="Opening_without_54_57_with_xx_night">Calculation!$D$31:$Q$31</definedName>
    <definedName name="Opening_without_54_57_with_xx_night_in">Input!$D$44:$Q$44</definedName>
    <definedName name="Opening_without_54_57_with_xx_sleep_disturbance_cost">Calculation!$D$356:$Q$356</definedName>
    <definedName name="Opening_without_54_57_with_xx_stroke_cost">Calculation!$D$488:$Q$488</definedName>
    <definedName name="Opening_without_57_60_with_xx">Calculation!$D$15:$Q$15</definedName>
    <definedName name="Opening_without_57_60_with_xx_amenity_cost">Calculation!$D$401:$Q$401</definedName>
    <definedName name="Opening_without_57_60_with_xx_AMI_cost">Calculation!$D$445:$Q$445</definedName>
    <definedName name="Opening_without_57_60_with_xx_composite_cost">QA!$D$25:$Q$25</definedName>
    <definedName name="Opening_without_57_60_with_xx_cost">Calculation!#REF!</definedName>
    <definedName name="Opening_without_57_60_with_xx_dementia_cost">Calculation!$D$533:$Q$533</definedName>
    <definedName name="Opening_without_57_60_with_xx_in">Input!$D$28:$Q$28</definedName>
    <definedName name="Opening_without_57_60_with_xx_night">Calculation!$D$32:$Q$32</definedName>
    <definedName name="Opening_without_57_60_with_xx_night_in">Input!$D$45:$Q$45</definedName>
    <definedName name="Opening_without_57_60_with_xx_sleep_disturbance_cost">Calculation!$D$357:$Q$357</definedName>
    <definedName name="Opening_without_57_60_with_xx_stroke_cost">Calculation!$D$489:$Q$489</definedName>
    <definedName name="Opening_without_60_63_with_xx">Calculation!$D$16:$Q$16</definedName>
    <definedName name="Opening_without_60_63_with_xx_amenity_cost">Calculation!$D$402:$Q$402</definedName>
    <definedName name="Opening_without_60_63_with_xx_AMI_cost">Calculation!$D$446:$Q$446</definedName>
    <definedName name="Opening_without_60_63_with_xx_composite_cost">QA!$D$26:$Q$26</definedName>
    <definedName name="Opening_without_60_63_with_xx_cost">Calculation!#REF!</definedName>
    <definedName name="Opening_without_60_63_with_xx_dementia_cost">Calculation!$D$534:$Q$534</definedName>
    <definedName name="Opening_without_60_63_with_xx_in">Input!$D$29:$Q$29</definedName>
    <definedName name="Opening_without_60_63_with_xx_night">Calculation!$D$33:$Q$33</definedName>
    <definedName name="Opening_without_60_63_with_xx_night_in">Input!$D$46:$Q$46</definedName>
    <definedName name="Opening_without_60_63_with_xx_sleep_disturbance_cost">Calculation!$D$358:$Q$358</definedName>
    <definedName name="Opening_without_60_63_with_xx_stroke_cost">Calculation!$D$490:$Q$490</definedName>
    <definedName name="Opening_without_63_66_with_xx">Calculation!$D$17:$Q$17</definedName>
    <definedName name="Opening_without_63_66_with_xx_amenity_cost">Calculation!$D$403:$Q$403</definedName>
    <definedName name="Opening_without_63_66_with_xx_AMI_cost">Calculation!$D$447:$Q$447</definedName>
    <definedName name="Opening_without_63_66_with_xx_composite_cost">QA!$D$27:$Q$27</definedName>
    <definedName name="Opening_without_63_66_with_xx_cost">Calculation!#REF!</definedName>
    <definedName name="Opening_without_63_66_with_xx_dementia_cost">Calculation!$D$535:$Q$535</definedName>
    <definedName name="Opening_without_63_66_with_xx_in">Input!$D$30:$Q$30</definedName>
    <definedName name="Opening_without_63_66_with_xx_night">Calculation!$D$34:$Q$34</definedName>
    <definedName name="Opening_without_63_66_with_xx_night_in">Input!$D$47:$Q$47</definedName>
    <definedName name="Opening_without_63_66_with_xx_sleep_disturbance_cost">Calculation!$D$359:$Q$359</definedName>
    <definedName name="Opening_without_63_66_with_xx_stroke_cost">Calculation!$D$491:$Q$491</definedName>
    <definedName name="Opening_without_66_69_with_xx">Calculation!$D$18:$Q$18</definedName>
    <definedName name="Opening_without_66_69_with_xx_amenity_cost">Calculation!$D$404:$Q$404</definedName>
    <definedName name="Opening_without_66_69_with_xx_AMI_cost">Calculation!$D$448:$Q$448</definedName>
    <definedName name="Opening_without_66_69_with_xx_composite_cost">QA!$D$28:$Q$28</definedName>
    <definedName name="Opening_without_66_69_with_xx_cost">Calculation!#REF!</definedName>
    <definedName name="Opening_without_66_69_with_xx_dementia_cost">Calculation!$D$536:$Q$536</definedName>
    <definedName name="Opening_without_66_69_with_xx_in">Input!$D$31:$Q$31</definedName>
    <definedName name="Opening_without_66_69_with_xx_night">Calculation!$D$35:$Q$35</definedName>
    <definedName name="Opening_without_66_69_with_xx_night_in">Input!$D$48:$Q$48</definedName>
    <definedName name="Opening_without_66_69_with_xx_sleep_disturbance_cost">Calculation!$D$360:$Q$360</definedName>
    <definedName name="Opening_without_66_69_with_xx_stroke_cost">Calculation!$D$492:$Q$492</definedName>
    <definedName name="Opening_without_69_72_with_xx">Calculation!$D$19:$Q$19</definedName>
    <definedName name="Opening_without_69_72_with_xx_amenity_cost">Calculation!$D$405:$Q$405</definedName>
    <definedName name="Opening_without_69_72_with_xx_AMI_cost">Calculation!$D$449:$Q$449</definedName>
    <definedName name="Opening_without_69_72_with_xx_composite_cost">QA!$D$29:$Q$29</definedName>
    <definedName name="Opening_without_69_72_with_xx_cost">Calculation!$D$133:$Q$133</definedName>
    <definedName name="Opening_without_69_72_with_xx_dementia_cost">Calculation!$D$537:$Q$537</definedName>
    <definedName name="Opening_without_69_72_with_xx_in">Input!$D$32:$Q$32</definedName>
    <definedName name="Opening_without_69_72_with_xx_night">Calculation!$D$36:$Q$36</definedName>
    <definedName name="Opening_without_69_72_with_xx_night_in">Input!$D$49:$Q$49</definedName>
    <definedName name="Opening_without_69_72_with_xx_sleep_disturbance_cost">Calculation!$D$361:$Q$361</definedName>
    <definedName name="Opening_without_69_72_with_xx_stroke_cost">Calculation!$D$493:$Q$493</definedName>
    <definedName name="Opening_without_72_75_with_xx">Calculation!$D$20:$Q$20</definedName>
    <definedName name="Opening_without_72_75_with_xx_amenity_cost">Calculation!$D$406:$Q$406</definedName>
    <definedName name="Opening_without_72_75_with_xx_AMI_cost">Calculation!$D$450:$Q$450</definedName>
    <definedName name="Opening_without_72_75_with_xx_composite_cost">QA!$D$30:$Q$30</definedName>
    <definedName name="Opening_without_72_75_with_xx_cost">Calculation!$D$134:$Q$134</definedName>
    <definedName name="Opening_without_72_75_with_xx_dementia_cost">Calculation!$D$538:$Q$538</definedName>
    <definedName name="Opening_without_72_75_with_xx_in">Input!$D$33:$Q$33</definedName>
    <definedName name="Opening_without_72_75_with_xx_night">Calculation!$D$37:$Q$37</definedName>
    <definedName name="Opening_without_72_75_with_xx_night_in">Input!$D$50:$Q$50</definedName>
    <definedName name="Opening_without_72_75_with_xx_sleep_disturbance_cost">Calculation!$D$362:$Q$362</definedName>
    <definedName name="Opening_without_72_75_with_xx_stroke_cost">Calculation!$D$494:$Q$494</definedName>
    <definedName name="Opening_without_75_78_with_xx">Calculation!$D$21:$Q$21</definedName>
    <definedName name="Opening_without_75_78_with_xx_amenity_cost">Calculation!$D$407:$Q$407</definedName>
    <definedName name="Opening_without_75_78_with_xx_AMI_cost">Calculation!$D$451:$Q$451</definedName>
    <definedName name="Opening_without_75_78_with_xx_composite_cost">QA!$D$31:$Q$31</definedName>
    <definedName name="Opening_without_75_78_with_xx_cost">Calculation!$D$135:$Q$135</definedName>
    <definedName name="Opening_without_75_78_with_xx_dementia_cost">Calculation!$D$539:$Q$539</definedName>
    <definedName name="Opening_without_75_78_with_xx_in">Input!$D$34:$Q$34</definedName>
    <definedName name="Opening_without_75_78_with_xx_night">Calculation!$D$38:$Q$38</definedName>
    <definedName name="Opening_without_75_78_with_xx_night_in">Input!$D$51:$Q$51</definedName>
    <definedName name="Opening_without_75_78_with_xx_sleep_disturbance_cost">Calculation!$D$363:$Q$363</definedName>
    <definedName name="Opening_without_75_78_with_xx_stroke_cost">Calculation!$D$495:$Q$495</definedName>
    <definedName name="Opening_without_78_81_with_xx">Calculation!$D$22:$Q$22</definedName>
    <definedName name="Opening_without_78_81_with_xx_amenity_cost">Calculation!$D$408:$Q$408</definedName>
    <definedName name="Opening_without_78_81_with_xx_AMI_cost">Calculation!$D$452:$Q$452</definedName>
    <definedName name="Opening_without_78_81_with_xx_composite_cost">QA!$D$32:$Q$32</definedName>
    <definedName name="Opening_without_78_81_with_xx_cost">Calculation!$D$136:$Q$136</definedName>
    <definedName name="Opening_without_78_81_with_xx_dementia_cost">Calculation!$D$540:$Q$540</definedName>
    <definedName name="Opening_without_78_81_with_xx_in">Input!$D$35:$Q$35</definedName>
    <definedName name="Opening_without_78_81_with_xx_night">Calculation!$D$39:$Q$39</definedName>
    <definedName name="Opening_without_78_81_with_xx_night_in">Input!$D$52:$Q$52</definedName>
    <definedName name="Opening_without_78_81_with_xx_sleep_disturbance_cost">Calculation!$D$364:$Q$364</definedName>
    <definedName name="Opening_without_78_81_with_xx_stroke_cost">Calculation!$D$496:$Q$496</definedName>
    <definedName name="Opening_without_81_with_xx">Calculation!$D$23:$Q$23</definedName>
    <definedName name="Opening_without_81_with_xx_amenity_cost">Calculation!$D$409:$Q$409</definedName>
    <definedName name="Opening_without_81_with_xx_AMI_cost">Calculation!$D$453:$Q$453</definedName>
    <definedName name="Opening_without_81_with_xx_composite_cost">QA!$D$33:$Q$33</definedName>
    <definedName name="Opening_without_81_with_xx_cost">Calculation!$D$137:$Q$137</definedName>
    <definedName name="Opening_without_81_with_xx_dementia_cost">Calculation!$D$541:$Q$541</definedName>
    <definedName name="Opening_without_81_with_xx_in">Input!$D$36:$Q$36</definedName>
    <definedName name="Opening_without_81_with_xx_night">Calculation!$D$40:$Q$40</definedName>
    <definedName name="Opening_without_81_with_xx_night_in">Input!$D$53:$Q$53</definedName>
    <definedName name="Opening_without_81_with_xx_sleep_disturbance_cost">Calculation!$D$365:$Q$365</definedName>
    <definedName name="Opening_without_81_with_xx_stroke_cost">Calculation!$D$497:$Q$497</definedName>
    <definedName name="Opening_year">Calculation!$C$572</definedName>
    <definedName name="Opening_year_amenity_cost">Calculation!$C$411</definedName>
    <definedName name="Opening_year_amenity_cost_mask">Calculation!$D$601:$CP$601</definedName>
    <definedName name="Opening_year_AMI_cost">Calculation!$C$455</definedName>
    <definedName name="Opening_year_AMI_cost_mask">Calculation!$D$610:$CP$610</definedName>
    <definedName name="Opening_year_composite_cost">QA!$C$35</definedName>
    <definedName name="Opening_year_dementia_cost">Calculation!$C$543</definedName>
    <definedName name="Opening_year_dementia_cost_mask">Calculation!$D$628:$CP$628</definedName>
    <definedName name="Opening_year_in">Input!$D$7</definedName>
    <definedName name="Opening_year_mask">Calculation!$D$573:$CP$573</definedName>
    <definedName name="Opening_year_noise_cost_mask">Calculation!$D$196:$CP$196</definedName>
    <definedName name="Opening_year_sleep_disturbance_cost">Calculation!$C$367</definedName>
    <definedName name="Opening_year_sleep_disturbance_cost_mask">Calculation!$D$592:$CP$592</definedName>
    <definedName name="Opening_year_stroke_cost">Calculation!$C$499</definedName>
    <definedName name="Opening_year_stroke_cost_mask">Calculation!$D$619:$CP$619</definedName>
    <definedName name="Outputs_price_base">Calculation!$C$643</definedName>
    <definedName name="Price_adjustment">Calculation!$C$646</definedName>
    <definedName name="Price_base_outputs_in">Input!$D$143</definedName>
    <definedName name="Price_base_values">Calculation!$C$643</definedName>
    <definedName name="Price_base_values_in">Input!$D$94</definedName>
    <definedName name="PV_base_year">Calculation!$C$679</definedName>
    <definedName name="PV_base_year_in">Input!$D$142</definedName>
    <definedName name="Rail_Lnight_mask">Calculation!$C$110</definedName>
    <definedName name="Rail_mask">Calculation!$C$92</definedName>
    <definedName name="Road_L16h_mask">Calculation!$C$112</definedName>
    <definedName name="Road_Lnight_mask">Calculation!$C$109</definedName>
    <definedName name="Road_mask">Calculation!$C$91</definedName>
    <definedName name="S_d_1_to_3_dB_band_45">Calculation!$D$119:$AQ$119</definedName>
    <definedName name="S_d_1_to_3_dB_band_45_48">Calculation!$D$120:$AQ$120</definedName>
    <definedName name="S_d_1_to_3_dB_band_48_51">Calculation!$D$121:$AQ$121</definedName>
    <definedName name="S_d_1_to_3_dB_band_51_54">Calculation!$D$122:$AQ$122</definedName>
    <definedName name="S_d_1_to_3_dB_band_54_57">Calculation!$D$123:$AQ$123</definedName>
    <definedName name="S_d_1_to_3_dB_band_57_60">Calculation!$D$124:$AQ$124</definedName>
    <definedName name="S_d_1_to_3_dB_band_60_63">Calculation!$D$125:$AQ$125</definedName>
    <definedName name="S_d_1_to_3_dB_band_63_66">Calculation!$D$126:$AQ$126</definedName>
    <definedName name="S_d_1_to_3_dB_band_66_69">Calculation!$D$127:$AQ$127</definedName>
    <definedName name="S_d_1_to_3_dB_band_69_72">Calculation!$D$128:$AQ$128</definedName>
    <definedName name="S_d_1_to_3_dB_band_72_75">Calculation!$D$129:$AQ$129</definedName>
    <definedName name="S_d_1_to_3_dB_band_75_78">Calculation!$D$130:$AQ$130</definedName>
    <definedName name="S_d_1_to_3_dB_band_78_81">Calculation!$D$131:$AQ$131</definedName>
    <definedName name="Scheme_name_in">Input!$D$6:$H$6</definedName>
    <definedName name="Scheme_type" localSheetId="2">Calculation!$C$89</definedName>
    <definedName name="Scheme_type_in">Input!$D$9</definedName>
    <definedName name="Sleep_disturbance_metric">Calculation!$B$114</definedName>
    <definedName name="Sleep_disturbance_values_1dB_table">Calculation!$D$116:$AQ$116</definedName>
    <definedName name="Sleep_disturbance_values_3dB_table">Calculation!$D$134:$P$135</definedName>
    <definedName name="Sleep_disturbance_values_aviation_1dB_in">Input!$D$135:$AQ$135</definedName>
    <definedName name="Sleep_disturbance_values_aviation_1dB_night">Calculation!$D$111:$AQ$111</definedName>
    <definedName name="Sleep_disturbance_values_aviation_1dB_night_in">Input!$D$135:$AQ$135</definedName>
    <definedName name="Sleep_disturbance_values_rail_1dB_in">Input!$D$122:$AQ$122</definedName>
    <definedName name="Sleep_disturbance_values_rail_1dB_night">Calculation!$D$110:$AQ$110</definedName>
    <definedName name="Sleep_disturbance_values_rail_1dB_night_in">Input!$D$122:$AQ$122</definedName>
    <definedName name="Sleep_disturbance_values_road_1dB_16hr">Calculation!$D$112:$AQ$112</definedName>
    <definedName name="Sleep_disturbance_values_road_1dB_16hr_in">Input!$D$101:$AQ$101</definedName>
    <definedName name="Sleep_disturbance_values_road_1dB_in">Input!$D$101:$AQ$101</definedName>
    <definedName name="Sleep_disturbance_values_road_1dB_night">Calculation!$D$109:$AQ$109</definedName>
    <definedName name="Sleep_disturbance_values_road_1dB_night_in">Input!$D$109:$AQ$109</definedName>
    <definedName name="stroke_1_to_3_dB_band_45">Calculation!$D$263:$AQ$263</definedName>
    <definedName name="stroke_1_to_3_dB_band_45_48">Calculation!$D$264:$AQ$264</definedName>
    <definedName name="stroke_1_to_3_dB_band_48_51">Calculation!$D$265:$AQ$265</definedName>
    <definedName name="stroke_1_to_3_dB_band_51_54">Calculation!$D$266:$AQ$266</definedName>
    <definedName name="stroke_1_to_3_dB_band_54_57">Calculation!$D$267:$AQ$267</definedName>
    <definedName name="stroke_1_to_3_dB_band_57_60">Calculation!$D$268:$AQ$268</definedName>
    <definedName name="stroke_1_to_3_dB_band_60_63">Calculation!$D$269:$AQ$269</definedName>
    <definedName name="stroke_1_to_3_dB_band_63_66">Calculation!$D$270:$AQ$270</definedName>
    <definedName name="stroke_1_to_3_dB_band_66_69">Calculation!$D$271:$AQ$271</definedName>
    <definedName name="stroke_1_to_3_dB_band_69_72">Calculation!$D$272:$AQ$272</definedName>
    <definedName name="stroke_1_to_3_dB_band_72_75">Calculation!$D$273:$AQ$273</definedName>
    <definedName name="stroke_1_to_3_dB_band_75_78">Calculation!$D$274:$AQ$274</definedName>
    <definedName name="stroke_1_to_3_dB_band_78_81">Calculation!$D$275:$AQ$275</definedName>
    <definedName name="Stroke_values_1dB_table">Calculation!$D$260:$AQ$260</definedName>
    <definedName name="Stroke_values_3dB_table">Calculation!$D$278:$P$279</definedName>
    <definedName name="Stroke_values_aviation_1dB">Calculation!$D$256:$AQ$256</definedName>
    <definedName name="Stroke_values_aviation_1dB_in">Input!$D$130:$AQ$130</definedName>
    <definedName name="Stroke_values_rail_1dB">Calculation!$D$255:$AQ$255</definedName>
    <definedName name="Stroke_values_rail_1dB_in">Input!$D$117:$AQ$117</definedName>
    <definedName name="Stroke_values_road_1dB">Calculation!$D$254:$AQ$254</definedName>
    <definedName name="Stroke_values_road_1dB_in">Input!$D$104:$AQ$104</definedName>
    <definedName name="Total_annual_amenity_cost">Calculation!$D$605:$CP$605</definedName>
    <definedName name="Total_annual_AMI_cost">Calculation!$D$614:$CP$614</definedName>
    <definedName name="Total_annual_dementia_cost">Calculation!$D$632:$CP$632</definedName>
    <definedName name="Total_annual_noise_cost">Calculation!$D$198:$CP$198</definedName>
    <definedName name="Total_annual_sleep_disturbance_cost">Calculation!$D$596:$CP$596</definedName>
    <definedName name="Total_annual_stroke_cost">Calculation!$D$623:$CP$623</definedName>
    <definedName name="Total_discounted_amenity_valuation">Calculation!$D$713</definedName>
    <definedName name="Total_discounted_AMI_valuation">Calculation!$D$714</definedName>
    <definedName name="Total_discounted_dementia_valuation">Calculation!$D$716</definedName>
    <definedName name="Total_discounted_sleep_disturbance_valuation">Calculation!$D$712</definedName>
    <definedName name="Total_discounted_stroke_valuation">Calculation!$D$715</definedName>
    <definedName name="Total_HH_increase_day">Calculation!$D$82</definedName>
    <definedName name="Total_HH_increase_night">Calculation!$D$84</definedName>
    <definedName name="Total_HH_reduction_day">Calculation!$D$83</definedName>
    <definedName name="Total_HH_reduction_night">Calculation!$D$85</definedName>
    <definedName name="Total_noise_net_present_value">Calculation!$D$720</definedName>
    <definedName name="Uprating_table">Calculation!$D$636:$XFD$638</definedName>
    <definedName name="Without_45_48_with_45_48_amenity_value">Calculation!$E$188</definedName>
    <definedName name="Without_45_48_with_45_48_AMI_value">Calculation!$E$236</definedName>
    <definedName name="Without_45_48_with_45_48_Dementia_value" localSheetId="2">Calculation!$E$332</definedName>
    <definedName name="without_45_48_with_45_48_sleep_disturbance_value">Calculation!$F$140</definedName>
    <definedName name="Without_45_48_with_45_48_stroke_value">Calculation!$E$284</definedName>
    <definedName name="Without_45_48_with_45_amenity_value">Calculation!$D$188</definedName>
    <definedName name="Without_45_48_with_45_AMI_value">Calculation!$D$236</definedName>
    <definedName name="Without_45_48_with_45_Dementia_value" localSheetId="2">Calculation!$D$332</definedName>
    <definedName name="Without_45_48_with_45_stroke_value">Calculation!$D$284</definedName>
    <definedName name="Without_45_48_with_48_51_amenity_value">Calculation!$F$188</definedName>
    <definedName name="Without_45_48_with_48_51_AMI_value">Calculation!$F$236</definedName>
    <definedName name="Without_45_48_with_48_51_Dementia_value" localSheetId="2">Calculation!$F$332</definedName>
    <definedName name="Without_45_48_with_48_51_sleep_disturbance_value">Calculation!$F$140</definedName>
    <definedName name="Without_45_48_with_48_51_stroke_value">Calculation!$F$284</definedName>
    <definedName name="Without_45_48_with_51_54_amenity_value">Calculation!$G$188</definedName>
    <definedName name="Without_45_48_with_51_54_AMI_value">Calculation!$G$236</definedName>
    <definedName name="Without_45_48_with_51_54_Dementia_value" localSheetId="2">Calculation!$G$332</definedName>
    <definedName name="Without_45_48_with_51_54_sleep_disturbance_value">Calculation!$G$140</definedName>
    <definedName name="Without_45_48_with_51_54_stroke_value">Calculation!$G$284</definedName>
    <definedName name="Without_45_48_with_54_57_amenity_value">Calculation!$H$188</definedName>
    <definedName name="Without_45_48_with_54_57_AMI_value">Calculation!$H$236</definedName>
    <definedName name="Without_45_48_with_54_57_Dementia_value" localSheetId="2">Calculation!$H$332</definedName>
    <definedName name="Without_45_48_with_54_57_sleep_disturbance_value">Calculation!$H$140</definedName>
    <definedName name="Without_45_48_with_54_57_stroke_value">Calculation!$H$284</definedName>
    <definedName name="Without_45_48_with_57_60_amenity_value">Calculation!$I$188</definedName>
    <definedName name="Without_45_48_with_57_60_AMI_value">Calculation!$I$236</definedName>
    <definedName name="Without_45_48_with_57_60_Dementia_value" localSheetId="2">Calculation!$I$332</definedName>
    <definedName name="Without_45_48_with_57_60_sleep_disturbance_value">Calculation!$I$140</definedName>
    <definedName name="Without_45_48_with_57_60_stroke_value">Calculation!$I$284</definedName>
    <definedName name="Without_45_48_with_60_63_amenity_value">Calculation!$J$188</definedName>
    <definedName name="Without_45_48_with_60_63_AMI_value">Calculation!$J$236</definedName>
    <definedName name="Without_45_48_with_60_63_Dementia_value" localSheetId="2">Calculation!$J$332</definedName>
    <definedName name="Without_45_48_with_60_63_sleep_disturbance_value">Calculation!$J$140</definedName>
    <definedName name="Without_45_48_with_60_63_stroke_value">Calculation!$J$284</definedName>
    <definedName name="Without_45_48_with_63_66_amenity_value">Calculation!$K$188</definedName>
    <definedName name="Without_45_48_with_63_66_AMI_value">Calculation!$K$236</definedName>
    <definedName name="Without_45_48_with_63_66_Dementia_value" localSheetId="2">Calculation!$K$332</definedName>
    <definedName name="Without_45_48_with_63_66_sleep_disturbance_value">Calculation!$K$140</definedName>
    <definedName name="Without_45_48_with_63_66_stroke_value">Calculation!$K$284</definedName>
    <definedName name="Without_45_48_with_66_69_amenity_value">Calculation!$L$188</definedName>
    <definedName name="Without_45_48_with_66_69_AMI_value">Calculation!$L$236</definedName>
    <definedName name="Without_45_48_with_66_69_Dementia_value" localSheetId="2">Calculation!$L$332</definedName>
    <definedName name="Without_45_48_with_66_69_sleep_disturbance_value">Calculation!$L$140</definedName>
    <definedName name="Without_45_48_with_66_69_stroke_value">Calculation!$L$284</definedName>
    <definedName name="Without_45_48_with_69_72_amenity_value">Calculation!$M$188</definedName>
    <definedName name="Without_45_48_with_69_72_AMI_value">Calculation!$M$236</definedName>
    <definedName name="Without_45_48_with_69_72_Dementia_value" localSheetId="2">Calculation!$M$332</definedName>
    <definedName name="Without_45_48_with_69_72_sleep_disturbance_value">Calculation!$M$140</definedName>
    <definedName name="Without_45_48_with_69_72_stroke_value">Calculation!$M$284</definedName>
    <definedName name="Without_45_48_with_72_75_amenity_value">Calculation!$N$188</definedName>
    <definedName name="Without_45_48_with_72_75_AMI_value">Calculation!$N$236</definedName>
    <definedName name="Without_45_48_with_72_75_Dementia_value" localSheetId="2">Calculation!$N$332</definedName>
    <definedName name="Without_45_48_with_72_75_sleep_disturbance_value">Calculation!$N$140</definedName>
    <definedName name="Without_45_48_with_72_75_stroke_value">Calculation!$N$284</definedName>
    <definedName name="Without_45_48_with_75_78_amenity_value">Calculation!$O$188</definedName>
    <definedName name="Without_45_48_with_75_78_AMI_value">Calculation!$O$236</definedName>
    <definedName name="Without_45_48_with_75_78_Dementia_value" localSheetId="2">Calculation!$O$332</definedName>
    <definedName name="Without_45_48_with_75_78_sleep_disturbance_value">Calculation!$O$140</definedName>
    <definedName name="Without_45_48_with_75_78_stroke_value">Calculation!$O$284</definedName>
    <definedName name="Without_45_48_with_78_81_amenity_value">Calculation!$P$188</definedName>
    <definedName name="Without_45_48_with_78_81_AMI_value">Calculation!$P$236</definedName>
    <definedName name="Without_45_48_with_78_81_Dementia_value" localSheetId="2">Calculation!$P$332</definedName>
    <definedName name="Without_45_48_with_78_81_sleep_disturbance_value">Calculation!$P$140</definedName>
    <definedName name="Without_45_48_with_78_81_stroke_value">Calculation!$P$284</definedName>
    <definedName name="Without_45_48_with_81_amenity_value">Calculation!$Q$188</definedName>
    <definedName name="Without_45_48_with_81_AMI_value">Calculation!$Q$236</definedName>
    <definedName name="Without_45_48_with_81_Dementia_value" localSheetId="2">Calculation!$Q$332</definedName>
    <definedName name="Without_45_48_with_81_sleep_disturbance_value">Calculation!$Q$140</definedName>
    <definedName name="Without_45_48_with_81_stroke_value">Calculation!$Q$284</definedName>
    <definedName name="Without_45_48_with_xx_amenity_value">Calculation!$D$188:$Q$188</definedName>
    <definedName name="Without_45_48_with_xx_AMI_value">Calculation!$D$236:$Q$236</definedName>
    <definedName name="Without_45_48_with_xx_composite_value">QA!$D$4:$Q$4</definedName>
    <definedName name="Without_45_48_with_xx_dementia_value">Calculation!$D$332:$Q$332</definedName>
    <definedName name="Without_45_48_with_xx_sleep_disturbance_value">Calculation!$D$140:$Q$140</definedName>
    <definedName name="Without_45_48_with_xx_stroke_value">Calculation!$D$284:$Q$284</definedName>
    <definedName name="Without_45_48_with_xx_value">Calculation!$D$71:$Q$71</definedName>
    <definedName name="Without_45_with_45_48_amenity_value">Calculation!$E$187</definedName>
    <definedName name="Without_45_with_45_48_AMI_value">Calculation!$E$235</definedName>
    <definedName name="Without_45_with_45_48_Dementia_value" localSheetId="2">Calculation!$E$331</definedName>
    <definedName name="Without_45_with_45_48_sleep_disturbance_value">Calculation!$E$139</definedName>
    <definedName name="Without_45_with_45_48_stroke_value">Calculation!$E$283</definedName>
    <definedName name="Without_45_with_45_amenity_value">Calculation!$D$187</definedName>
    <definedName name="Without_45_with_45_AMI_value">Calculation!$D$235</definedName>
    <definedName name="Without_45_with_45_Dementia_value" localSheetId="2">Calculation!$D$331</definedName>
    <definedName name="Without_45_with_45_stroke_value">Calculation!$D$283</definedName>
    <definedName name="Without_45_with_48_51_amenity_value">Calculation!$F$187</definedName>
    <definedName name="Without_45_with_48_51_AMI_value">Calculation!$F$235</definedName>
    <definedName name="Without_45_with_48_51_Dementia_value" localSheetId="2">Calculation!$F$331</definedName>
    <definedName name="Without_45_with_48_51_sleep_disturbance_value">Calculation!$F$139</definedName>
    <definedName name="Without_45_with_48_51_stroke_value">Calculation!$F$283</definedName>
    <definedName name="Without_45_with_51_54_amenity_value">Calculation!$G$187</definedName>
    <definedName name="Without_45_with_51_54_AMI_value">Calculation!$G$235</definedName>
    <definedName name="Without_45_with_51_54_Dementia_value" localSheetId="2">Calculation!$G$331</definedName>
    <definedName name="Without_45_with_51_54_sleep_disturbance_value">Calculation!$G$139</definedName>
    <definedName name="Without_45_with_51_54_stroke_value">Calculation!$G$283</definedName>
    <definedName name="Without_45_with_54_57_amenity_value">Calculation!$H$187</definedName>
    <definedName name="Without_45_with_54_57_AMI_value">Calculation!$H$235</definedName>
    <definedName name="Without_45_with_54_57_Dementia_value" localSheetId="2">Calculation!$H$331</definedName>
    <definedName name="Without_45_with_54_57_sleep_disturbance_value">Calculation!$H$139</definedName>
    <definedName name="Without_45_with_54_57_stroke_value">Calculation!$H$283</definedName>
    <definedName name="Without_45_with_57_60_amenity_value">Calculation!$I$187</definedName>
    <definedName name="Without_45_with_57_60_AMI_value">Calculation!$I$235</definedName>
    <definedName name="Without_45_with_57_60_Dementia_value" localSheetId="2">Calculation!$I$331</definedName>
    <definedName name="Without_45_with_57_60_sleep_disturbance_value">Calculation!$I$139</definedName>
    <definedName name="Without_45_with_57_60_stroke_value">Calculation!$I$283</definedName>
    <definedName name="Without_45_with_60_63_amenity_value">Calculation!$J$187</definedName>
    <definedName name="Without_45_with_60_63_AMI_value">Calculation!$J$235</definedName>
    <definedName name="Without_45_with_60_63_Dementia_value" localSheetId="2">Calculation!$J$331</definedName>
    <definedName name="Without_45_with_60_63_sleep_disturbance_value">Calculation!$J$139</definedName>
    <definedName name="Without_45_with_60_63_stroke_value">Calculation!$J$283</definedName>
    <definedName name="Without_45_with_63_66_amenity_value">Calculation!$K$187</definedName>
    <definedName name="Without_45_with_63_66_AMI_value">Calculation!$K$235</definedName>
    <definedName name="Without_45_with_63_66_Dementia_value" localSheetId="2">Calculation!$K$331</definedName>
    <definedName name="Without_45_with_63_66_sleep_disturbance_value">Calculation!$K$139</definedName>
    <definedName name="Without_45_with_63_66_stroke_value">Calculation!$K$283</definedName>
    <definedName name="Without_45_with_66_69_amenity_value">Calculation!$L$187</definedName>
    <definedName name="Without_45_with_66_69_AMI_value">Calculation!$L$235</definedName>
    <definedName name="Without_45_with_66_69_Dementia_value" localSheetId="2">Calculation!$L$331</definedName>
    <definedName name="Without_45_with_66_69_sleep_disturbance_value">Calculation!$L$139</definedName>
    <definedName name="Without_45_with_66_69_stroke_value">Calculation!$L$283</definedName>
    <definedName name="Without_45_with_69_72_amenity_value">Calculation!$M$187</definedName>
    <definedName name="Without_45_with_69_72_AMI_value">Calculation!$M$235</definedName>
    <definedName name="Without_45_with_69_72_Dementia_value" localSheetId="2">Calculation!$M$331</definedName>
    <definedName name="Without_45_with_69_72_sleep_disturbance_value">Calculation!$M$139</definedName>
    <definedName name="Without_45_with_69_72_stroke_value">Calculation!$M$283</definedName>
    <definedName name="Without_45_with_72_75_amenity_value">Calculation!$N$187</definedName>
    <definedName name="Without_45_with_72_75_AMI_value">Calculation!$N$235</definedName>
    <definedName name="Without_45_with_72_75_Dementia_value" localSheetId="2">Calculation!$N$331</definedName>
    <definedName name="Without_45_with_72_75_sleep_disturbance_value">Calculation!$N$139</definedName>
    <definedName name="Without_45_with_72_75_stroke_value">Calculation!$N$283</definedName>
    <definedName name="Without_45_with_75_78_amenity_value">Calculation!$O$187</definedName>
    <definedName name="Without_45_with_75_78_AMI_value">Calculation!$O$235</definedName>
    <definedName name="Without_45_with_75_78_Dementia_value" localSheetId="2">Calculation!$O$331</definedName>
    <definedName name="Without_45_with_75_78_sleep_disturbance_value">Calculation!$O$139</definedName>
    <definedName name="Without_45_with_75_78_stroke_value">Calculation!$O$283</definedName>
    <definedName name="Without_45_with_78_81_amenity_value">Calculation!$P$187</definedName>
    <definedName name="Without_45_with_78_81_AMI_value">Calculation!$P$235</definedName>
    <definedName name="Without_45_with_78_81_Dementia_value" localSheetId="2">Calculation!$P$331</definedName>
    <definedName name="Without_45_with_78_81_sleep_disturbance_value">Calculation!$P$139</definedName>
    <definedName name="Without_45_with_78_81_stroke_value">Calculation!$P$283</definedName>
    <definedName name="Without_45_with_81_amenity_value">Calculation!$Q$187</definedName>
    <definedName name="Without_45_with_81_AMI_value">Calculation!$Q$235</definedName>
    <definedName name="Without_45_with_81_Dementia_value" localSheetId="2">Calculation!$Q$331</definedName>
    <definedName name="Without_45_with_81_sleep_disturbance_value">Calculation!$Q$139</definedName>
    <definedName name="Without_45_with_81_stroke_value">Calculation!$Q$283</definedName>
    <definedName name="Without_45_with_xx_amenity_value">Calculation!$D$187:$Q$187</definedName>
    <definedName name="Without_45_with_xx_AMI_value">Calculation!$D$235:$Q$235</definedName>
    <definedName name="Without_45_with_xx_composite_value">QA!$D$3:$Q$3</definedName>
    <definedName name="Without_45_with_xx_dementia_value">Calculation!$D$331:$Q$331</definedName>
    <definedName name="Without_45_with_xx_sleep_disturbance_value">Calculation!$D$139:$Q$139</definedName>
    <definedName name="Without_45_with_xx_stroke_value">Calculation!$D$283:$Q$283</definedName>
    <definedName name="Without_45_with_xx_value">Calculation!$D$70:$Q$70</definedName>
    <definedName name="Without_48_51_with_45_48_amenity_value">Calculation!$E$189</definedName>
    <definedName name="Without_48_51_with_45_48_AMI_value">Calculation!$E$237</definedName>
    <definedName name="Without_48_51_with_45_48_Dementia_value" localSheetId="2">Calculation!$E$333</definedName>
    <definedName name="Without_48_51_with_45_48_stroke_value">Calculation!$E$285</definedName>
    <definedName name="Without_48_51_with_45_amenity_value">Calculation!$D$189</definedName>
    <definedName name="Without_48_51_with_45_AMI_value">Calculation!$D$237</definedName>
    <definedName name="Without_48_51_with_45_Dementia_value" localSheetId="2">Calculation!$D$333</definedName>
    <definedName name="Without_48_51_with_45_stroke_value">Calculation!$D$285</definedName>
    <definedName name="Without_48_51_with_48_51_amenity_value">Calculation!$F$189</definedName>
    <definedName name="Without_48_51_with_48_51_AMI_value">Calculation!$F$237</definedName>
    <definedName name="Without_48_51_with_48_51_Dementia_value" localSheetId="2">Calculation!$F$333</definedName>
    <definedName name="Without_48_51_with_48_51_stroke_value">Calculation!$F$285</definedName>
    <definedName name="Without_48_51_with_51_54_amenity_value">Calculation!$G$189</definedName>
    <definedName name="Without_48_51_with_51_54_AMI_value">Calculation!$G$237</definedName>
    <definedName name="Without_48_51_with_51_54_Dementia_value" localSheetId="2">Calculation!$G$333</definedName>
    <definedName name="Without_48_51_with_51_54_sleep_disturbance_value">Calculation!$G$141</definedName>
    <definedName name="Without_48_51_with_51_54_stroke_value">Calculation!$G$285</definedName>
    <definedName name="Without_48_51_with_54_57_amenity_value">Calculation!$H$189</definedName>
    <definedName name="Without_48_51_with_54_57_AMI_value">Calculation!$H$237</definedName>
    <definedName name="Without_48_51_with_54_57_Dementia_value" localSheetId="2">Calculation!$H$333</definedName>
    <definedName name="Without_48_51_with_54_57_sleep_disturbance_value">Calculation!$H$141</definedName>
    <definedName name="Without_48_51_with_54_57_stroke_value">Calculation!$H$285</definedName>
    <definedName name="Without_48_51_with_57_60_amenity_value">Calculation!$I$189</definedName>
    <definedName name="Without_48_51_with_57_60_AMI_value">Calculation!$I$237</definedName>
    <definedName name="Without_48_51_with_57_60_Dementia_value" localSheetId="2">Calculation!$I$333</definedName>
    <definedName name="Without_48_51_with_57_60_sleep_disturbance_value">Calculation!$I$141</definedName>
    <definedName name="Without_48_51_with_57_60_stroke_value">Calculation!$I$285</definedName>
    <definedName name="Without_48_51_with_60_63_amenity_value">Calculation!$J$189</definedName>
    <definedName name="Without_48_51_with_60_63_AMI_value">Calculation!$J$237</definedName>
    <definedName name="Without_48_51_with_60_63_Dementia_value" localSheetId="2">Calculation!$J$333</definedName>
    <definedName name="Without_48_51_with_60_63_sleep_disturbance_value">Calculation!$J$141</definedName>
    <definedName name="Without_48_51_with_60_63_stroke_value">Calculation!$J$285</definedName>
    <definedName name="Without_48_51_with_63_66_amenity_value">Calculation!$K$189</definedName>
    <definedName name="Without_48_51_with_63_66_AMI_value">Calculation!$K$237</definedName>
    <definedName name="Without_48_51_with_63_66_Dementia_value" localSheetId="2">Calculation!$K$333</definedName>
    <definedName name="Without_48_51_with_63_66_sleep_disturbance_value">Calculation!$K$141</definedName>
    <definedName name="Without_48_51_with_63_66_stroke_value">Calculation!$K$285</definedName>
    <definedName name="Without_48_51_with_66_69_amenity_value">Calculation!$L$189</definedName>
    <definedName name="Without_48_51_with_66_69_AMI_value">Calculation!$L$237</definedName>
    <definedName name="Without_48_51_with_66_69_Dementia_value" localSheetId="2">Calculation!$L$333</definedName>
    <definedName name="Without_48_51_with_66_69_sleep_disturbance_value">Calculation!$L$141</definedName>
    <definedName name="Without_48_51_with_66_69_stroke_value">Calculation!$L$285</definedName>
    <definedName name="Without_48_51_with_69_72_amenity_value">Calculation!$M$189</definedName>
    <definedName name="Without_48_51_with_69_72_AMI_value">Calculation!$M$237</definedName>
    <definedName name="Without_48_51_with_69_72_Dementia_value" localSheetId="2">Calculation!$M$333</definedName>
    <definedName name="Without_48_51_with_69_72_sleep_disturbance_value">Calculation!$M$141</definedName>
    <definedName name="Without_48_51_with_69_72_stroke_value">Calculation!$M$285</definedName>
    <definedName name="Without_48_51_with_72_75_amenity_value">Calculation!$N$189</definedName>
    <definedName name="Without_48_51_with_72_75_AMI_value">Calculation!$N$237</definedName>
    <definedName name="Without_48_51_with_72_75_Dementia_value" localSheetId="2">Calculation!$N$333</definedName>
    <definedName name="Without_48_51_with_72_75_sleep_disturbance_value">Calculation!$N$141</definedName>
    <definedName name="Without_48_51_with_72_75_stroke_value">Calculation!$N$285</definedName>
    <definedName name="Without_48_51_with_75_78_amenity_value">Calculation!$O$189</definedName>
    <definedName name="Without_48_51_with_75_78_AMI_value">Calculation!$O$237</definedName>
    <definedName name="Without_48_51_with_75_78_Dementia_value" localSheetId="2">Calculation!$O$333</definedName>
    <definedName name="Without_48_51_with_75_78_sleep_disturbance_value">Calculation!$O$141</definedName>
    <definedName name="Without_48_51_with_75_78_stroke_value">Calculation!$O$285</definedName>
    <definedName name="Without_48_51_with_78_81_amenity_value">Calculation!$P$189</definedName>
    <definedName name="Without_48_51_with_78_81_AMI_value">Calculation!$P$237</definedName>
    <definedName name="Without_48_51_with_78_81_Dementia_value" localSheetId="2">Calculation!$P$333</definedName>
    <definedName name="Without_48_51_with_78_81_sleep_disturbance_value">Calculation!$P$141</definedName>
    <definedName name="Without_48_51_with_78_81_stroke_value">Calculation!$P$285</definedName>
    <definedName name="Without_48_51_with_81_amenity_value">Calculation!$Q$189</definedName>
    <definedName name="Without_48_51_with_81_AMI_value">Calculation!$Q$237</definedName>
    <definedName name="Without_48_51_with_81_Dementia_value" localSheetId="2">Calculation!$Q$333</definedName>
    <definedName name="Without_48_51_with_81_sleep_disturbance_value">Calculation!$Q$141</definedName>
    <definedName name="Without_48_51_with_81_stroke_value">Calculation!$Q$285</definedName>
    <definedName name="Without_48_51_with_xx_amenity_value">Calculation!$D$189:$Q$189</definedName>
    <definedName name="Without_48_51_with_xx_AMI_value">Calculation!$D$237:$Q$237</definedName>
    <definedName name="Without_48_51_with_xx_composite_value">QA!$D$5:$Q$5</definedName>
    <definedName name="Without_48_51_with_xx_dementia_value">Calculation!$D$333:$Q$333</definedName>
    <definedName name="Without_48_51_with_xx_sleep_disturbance_value">Calculation!$D$141:$Q$141</definedName>
    <definedName name="Without_48_51_with_xx_stroke_value">Calculation!$D$285:$Q$285</definedName>
    <definedName name="Without_48_51_with_xx_value">Calculation!$D$72:$Q$72</definedName>
    <definedName name="Without_51_54_with_45_48_amenity_value">Calculation!$E$190</definedName>
    <definedName name="Without_51_54_with_45_48_AMI_value">Calculation!$E$238</definedName>
    <definedName name="Without_51_54_with_45_48_Dementia_value" localSheetId="2">Calculation!$E$334</definedName>
    <definedName name="Without_51_54_with_45_48_stroke_value">Calculation!$E$286</definedName>
    <definedName name="Without_51_54_with_45_amenity_value">Calculation!$D$190</definedName>
    <definedName name="Without_51_54_with_45_AMI_value">Calculation!$D$238</definedName>
    <definedName name="Without_51_54_with_45_Dementia_value" localSheetId="2">Calculation!$D$334</definedName>
    <definedName name="Without_51_54_with_45_stroke_value">Calculation!$D$286</definedName>
    <definedName name="Without_51_54_with_48_51_amenity_value">Calculation!$F$190</definedName>
    <definedName name="Without_51_54_with_48_51_AMI_value">Calculation!$F$238</definedName>
    <definedName name="Without_51_54_with_48_51_Dementia_value" localSheetId="2">Calculation!$F$334</definedName>
    <definedName name="Without_51_54_with_48_51_stroke_value">Calculation!$F$286</definedName>
    <definedName name="Without_51_54_with_51_54_amenity_value">Calculation!$G$190</definedName>
    <definedName name="Without_51_54_with_51_54_AMI_value">Calculation!$G$238</definedName>
    <definedName name="Without_51_54_with_51_54_Dementia_value" localSheetId="2">Calculation!$G$334</definedName>
    <definedName name="Without_51_54_with_51_54_stroke_value">Calculation!$G$286</definedName>
    <definedName name="Without_51_54_with_54_57_amenity_value">Calculation!$H$190</definedName>
    <definedName name="Without_51_54_with_54_57_AMI_value">Calculation!$H$238</definedName>
    <definedName name="Without_51_54_with_54_57_Dementia_value" localSheetId="2">Calculation!$H$334</definedName>
    <definedName name="Without_51_54_with_54_57_sleep_disturbance_value">Calculation!$H$142</definedName>
    <definedName name="Without_51_54_with_54_57_stroke_value">Calculation!$H$286</definedName>
    <definedName name="Without_51_54_with_57_60_amenity_value">Calculation!$I$190</definedName>
    <definedName name="Without_51_54_with_57_60_AMI_value">Calculation!$I$238</definedName>
    <definedName name="Without_51_54_with_57_60_Dementia_value" localSheetId="2">Calculation!$I$334</definedName>
    <definedName name="Without_51_54_with_57_60_sleep_disturbance_value">Calculation!$I$142</definedName>
    <definedName name="Without_51_54_with_57_60_stroke_value">Calculation!$I$286</definedName>
    <definedName name="Without_51_54_with_60_63_amenity_value">Calculation!$J$190</definedName>
    <definedName name="Without_51_54_with_60_63_AMI_value">Calculation!$J$238</definedName>
    <definedName name="Without_51_54_with_60_63_Dementia_value" localSheetId="2">Calculation!$J$334</definedName>
    <definedName name="Without_51_54_with_60_63_sleep_disturbance_value">Calculation!$J$142</definedName>
    <definedName name="Without_51_54_with_60_63_stroke_value">Calculation!$J$286</definedName>
    <definedName name="Without_51_54_with_63_66_amenity_value">Calculation!$K$190</definedName>
    <definedName name="Without_51_54_with_63_66_AMI_value">Calculation!$K$238</definedName>
    <definedName name="Without_51_54_with_63_66_Dementia_value" localSheetId="2">Calculation!$K$334</definedName>
    <definedName name="Without_51_54_with_63_66_sleep_disturbance_value">Calculation!$K$142</definedName>
    <definedName name="Without_51_54_with_63_66_stroke_value">Calculation!$K$286</definedName>
    <definedName name="Without_51_54_with_66_69_amenity_value">Calculation!$L$190</definedName>
    <definedName name="Without_51_54_with_66_69_AMI_value">Calculation!$L$238</definedName>
    <definedName name="Without_51_54_with_66_69_Dementia_value" localSheetId="2">Calculation!$L$334</definedName>
    <definedName name="Without_51_54_with_66_69_sleep_disturbance_value">Calculation!$L$142</definedName>
    <definedName name="Without_51_54_with_66_69_stroke_value">Calculation!$L$286</definedName>
    <definedName name="Without_51_54_with_69_72_amenity_value">Calculation!$M$190</definedName>
    <definedName name="Without_51_54_with_69_72_AMI_value">Calculation!$M$238</definedName>
    <definedName name="Without_51_54_with_69_72_Dementia_value" localSheetId="2">Calculation!$M$334</definedName>
    <definedName name="Without_51_54_with_69_72_sleep_disturbance_value">Calculation!$M$142</definedName>
    <definedName name="Without_51_54_with_69_72_stroke_value">Calculation!$M$286</definedName>
    <definedName name="Without_51_54_with_72_75_amenity_value">Calculation!$N$190</definedName>
    <definedName name="Without_51_54_with_72_75_AMI_value">Calculation!$N$238</definedName>
    <definedName name="Without_51_54_with_72_75_Dementia_value" localSheetId="2">Calculation!$N$334</definedName>
    <definedName name="Without_51_54_with_72_75_sleep_disturbance_value">Calculation!$N$142</definedName>
    <definedName name="Without_51_54_with_72_75_stroke_value">Calculation!$N$286</definedName>
    <definedName name="Without_51_54_with_75_78_amenity_value">Calculation!$O$190</definedName>
    <definedName name="Without_51_54_with_75_78_AMI_value">Calculation!$O$238</definedName>
    <definedName name="Without_51_54_with_75_78_Dementia_value" localSheetId="2">Calculation!$O$334</definedName>
    <definedName name="Without_51_54_with_75_78_sleep_disturbance_value">Calculation!$O$142</definedName>
    <definedName name="Without_51_54_with_75_78_stroke_value">Calculation!$O$286</definedName>
    <definedName name="Without_51_54_with_78_81_amenity_value">Calculation!$P$190</definedName>
    <definedName name="Without_51_54_with_78_81_AMI_value">Calculation!$P$238</definedName>
    <definedName name="Without_51_54_with_78_81_Dementia_value" localSheetId="2">Calculation!$P$334</definedName>
    <definedName name="Without_51_54_with_78_81_sleep_disturbance_value">Calculation!$P$142</definedName>
    <definedName name="Without_51_54_with_78_81_stroke_value">Calculation!$P$286</definedName>
    <definedName name="Without_51_54_with_81_amenity_value">Calculation!$Q$190</definedName>
    <definedName name="Without_51_54_with_81_AMI_value">Calculation!$Q$238</definedName>
    <definedName name="Without_51_54_with_81_Dementia_value" localSheetId="2">Calculation!$Q$334</definedName>
    <definedName name="Without_51_54_with_81_sleep_disturbance_value">Calculation!$Q$142</definedName>
    <definedName name="Without_51_54_with_81_stroke_value">Calculation!$Q$286</definedName>
    <definedName name="Without_51_54_with_xx_amenity_value">Calculation!$D$190:$Q$190</definedName>
    <definedName name="Without_51_54_with_xx_AMI_value">Calculation!$D$238:$Q$238</definedName>
    <definedName name="Without_51_54_with_xx_composite_value">QA!$D$6:$Q$6</definedName>
    <definedName name="Without_51_54_with_xx_dementia_value">Calculation!$D$334:$Q$334</definedName>
    <definedName name="Without_51_54_with_xx_sleep_disturbance_value">Calculation!$D$142:$Q$142</definedName>
    <definedName name="Without_51_54_with_xx_stroke_value">Calculation!$D$286:$Q$286</definedName>
    <definedName name="Without_51_54_with_xx_value">Calculation!$D$73:$Q$73</definedName>
    <definedName name="Without_54_57_with_45_48_amenity_value">Calculation!$E$191</definedName>
    <definedName name="Without_54_57_with_45_48_AMI_value">Calculation!$E$239</definedName>
    <definedName name="Without_54_57_with_45_48_Dementia_value" localSheetId="2">Calculation!$E$335</definedName>
    <definedName name="Without_54_57_with_45_48_stroke_value">Calculation!$E$287</definedName>
    <definedName name="Without_54_57_with_45_amenity_value">Calculation!$D$191</definedName>
    <definedName name="Without_54_57_with_45_AMI_value">Calculation!$D$239</definedName>
    <definedName name="Without_54_57_with_45_Dementia_value" localSheetId="2">Calculation!$D$335</definedName>
    <definedName name="Without_54_57_with_45_stroke_value">Calculation!$D$287</definedName>
    <definedName name="Without_54_57_with_48_51_amenity_value">Calculation!$F$191</definedName>
    <definedName name="Without_54_57_with_48_51_AMI_value">Calculation!$F$239</definedName>
    <definedName name="Without_54_57_with_48_51_Dementia_value" localSheetId="2">Calculation!$F$335</definedName>
    <definedName name="Without_54_57_with_48_51_stroke_value">Calculation!$F$287</definedName>
    <definedName name="Without_54_57_with_51_54_amenity_value">Calculation!$G$191</definedName>
    <definedName name="Without_54_57_with_51_54_AMI_value">Calculation!$G$239</definedName>
    <definedName name="Without_54_57_with_51_54_Dementia_value" localSheetId="2">Calculation!$G$335</definedName>
    <definedName name="Without_54_57_with_51_54_stroke_value">Calculation!$G$287</definedName>
    <definedName name="Without_54_57_with_54_57_amenity_value">Calculation!$H$191</definedName>
    <definedName name="Without_54_57_with_54_57_AMI_value">Calculation!$H$239</definedName>
    <definedName name="Without_54_57_with_54_57_Dementia_value" localSheetId="2">Calculation!$H$335</definedName>
    <definedName name="Without_54_57_with_54_57_stroke_value">Calculation!$H$287</definedName>
    <definedName name="Without_54_57_with_57_60_amenity_value">Calculation!$I$191</definedName>
    <definedName name="Without_54_57_with_57_60_AMI_value">Calculation!$I$239</definedName>
    <definedName name="Without_54_57_with_57_60_Dementia_value" localSheetId="2">Calculation!$I$335</definedName>
    <definedName name="Without_54_57_with_57_60_sleep_disturbance_value">Calculation!$I$143</definedName>
    <definedName name="Without_54_57_with_57_60_stroke_value">Calculation!$I$287</definedName>
    <definedName name="Without_54_57_with_60_63_amenity_value">Calculation!$J$191</definedName>
    <definedName name="Without_54_57_with_60_63_AMI_value">Calculation!$J$239</definedName>
    <definedName name="Without_54_57_with_60_63_Dementia_value" localSheetId="2">Calculation!$J$335</definedName>
    <definedName name="Without_54_57_with_60_63_sleep_disturbance_value">Calculation!$J$143</definedName>
    <definedName name="Without_54_57_with_60_63_stroke_value">Calculation!$J$287</definedName>
    <definedName name="Without_54_57_with_63_66_amenity_value">Calculation!$K$191</definedName>
    <definedName name="Without_54_57_with_63_66_AMI_value">Calculation!$K$239</definedName>
    <definedName name="Without_54_57_with_63_66_Dementia_value" localSheetId="2">Calculation!$K$335</definedName>
    <definedName name="Without_54_57_with_63_66_sleep_disturbance_value">Calculation!$K$143</definedName>
    <definedName name="Without_54_57_with_63_66_stroke_value">Calculation!$K$287</definedName>
    <definedName name="Without_54_57_with_66_69_amenity_value">Calculation!$L$191</definedName>
    <definedName name="Without_54_57_with_66_69_AMI_value">Calculation!$L$239</definedName>
    <definedName name="Without_54_57_with_66_69_Dementia_value" localSheetId="2">Calculation!$L$335</definedName>
    <definedName name="Without_54_57_with_66_69_sleep_disturbance_value">Calculation!$L$143</definedName>
    <definedName name="Without_54_57_with_66_69_stroke_value">Calculation!$L$287</definedName>
    <definedName name="Without_54_57_with_69_72_amenity_value">Calculation!$M$191</definedName>
    <definedName name="Without_54_57_with_69_72_AMI_value">Calculation!$M$239</definedName>
    <definedName name="Without_54_57_with_69_72_Dementia_value" localSheetId="2">Calculation!$M$335</definedName>
    <definedName name="Without_54_57_with_69_72_sleep_disturbance_value">Calculation!$M$143</definedName>
    <definedName name="Without_54_57_with_69_72_stroke_value">Calculation!$M$287</definedName>
    <definedName name="Without_54_57_with_72_75_amenity_value">Calculation!$N$191</definedName>
    <definedName name="Without_54_57_with_72_75_AMI_value">Calculation!$N$239</definedName>
    <definedName name="Without_54_57_with_72_75_Dementia_value" localSheetId="2">Calculation!$N$335</definedName>
    <definedName name="Without_54_57_with_72_75_sleep_disturbance_value">Calculation!$N$143</definedName>
    <definedName name="Without_54_57_with_72_75_stroke_value">Calculation!$N$287</definedName>
    <definedName name="Without_54_57_with_75_78_amenity_value">Calculation!$O$191</definedName>
    <definedName name="Without_54_57_with_75_78_AMI_value">Calculation!$O$239</definedName>
    <definedName name="Without_54_57_with_75_78_Dementia_value" localSheetId="2">Calculation!$O$335</definedName>
    <definedName name="Without_54_57_with_75_78_sleep_disturbance_value">Calculation!$O$143</definedName>
    <definedName name="Without_54_57_with_75_78_stroke_value">Calculation!$O$287</definedName>
    <definedName name="Without_54_57_with_78_81_amenity_value">Calculation!$P$191</definedName>
    <definedName name="Without_54_57_with_78_81_AMI_value">Calculation!$P$239</definedName>
    <definedName name="Without_54_57_with_78_81_Dementia_value" localSheetId="2">Calculation!$P$335</definedName>
    <definedName name="Without_54_57_with_78_81_sleep_disturbance_value">Calculation!$P$143</definedName>
    <definedName name="Without_54_57_with_78_81_stroke_value">Calculation!$P$287</definedName>
    <definedName name="Without_54_57_with_81_amenity_value">Calculation!$Q$191</definedName>
    <definedName name="Without_54_57_with_81_AMI_value">Calculation!$Q$239</definedName>
    <definedName name="Without_54_57_with_81_Dementia_value" localSheetId="2">Calculation!$Q$335</definedName>
    <definedName name="Without_54_57_with_81_sleep_disturbance_value">Calculation!$Q$143</definedName>
    <definedName name="Without_54_57_with_81_stroke_value">Calculation!$Q$287</definedName>
    <definedName name="Without_54_57_with_xx_amenity_value">Calculation!$D$191:$Q$191</definedName>
    <definedName name="Without_54_57_with_xx_AMI_value">Calculation!$D$239:$Q$239</definedName>
    <definedName name="Without_54_57_with_xx_composite_value">QA!$D$7:$Q$7</definedName>
    <definedName name="Without_54_57_with_xx_dementia_value">Calculation!$D$335:$Q$335</definedName>
    <definedName name="Without_54_57_with_xx_sleep_disturbance_value">Calculation!$D$143:$Q$143</definedName>
    <definedName name="Without_54_57_with_xx_stroke_value">Calculation!$D$287:$Q$287</definedName>
    <definedName name="Without_54_57_with_xx_value">Calculation!$D$74:$Q$74</definedName>
    <definedName name="Without_57_60_with_45_48_amenity_value">Calculation!$E$192</definedName>
    <definedName name="Without_57_60_with_45_48_AMI_value">Calculation!$E$240</definedName>
    <definedName name="Without_57_60_with_45_48_Dementia_value" localSheetId="2">Calculation!$E$336</definedName>
    <definedName name="Without_57_60_with_45_48_stroke_value">Calculation!$E$288</definedName>
    <definedName name="Without_57_60_with_45_amenity_value">Calculation!$D$192</definedName>
    <definedName name="Without_57_60_with_45_AMI_value">Calculation!$D$240</definedName>
    <definedName name="Without_57_60_with_45_Dementia_value" localSheetId="2">Calculation!$D$336</definedName>
    <definedName name="Without_57_60_with_45_stroke_value">Calculation!$D$288</definedName>
    <definedName name="Without_57_60_with_48_51_amenity_value">Calculation!$F$192</definedName>
    <definedName name="Without_57_60_with_48_51_AMI_value">Calculation!$F$240</definedName>
    <definedName name="Without_57_60_with_48_51_Dementia_value" localSheetId="2">Calculation!$F$336</definedName>
    <definedName name="Without_57_60_with_48_51_stroke_value">Calculation!$F$288</definedName>
    <definedName name="Without_57_60_with_51_54_amenity_value">Calculation!$G$192</definedName>
    <definedName name="Without_57_60_with_51_54_AMI_value">Calculation!$G$240</definedName>
    <definedName name="Without_57_60_with_51_54_Dementia_value" localSheetId="2">Calculation!$G$336</definedName>
    <definedName name="Without_57_60_with_51_54_stroke_value">Calculation!$G$288</definedName>
    <definedName name="Without_57_60_with_54_57_amenity_value">Calculation!$H$192</definedName>
    <definedName name="Without_57_60_with_54_57_AMI_value">Calculation!$H$240</definedName>
    <definedName name="Without_57_60_with_54_57_Dementia_value" localSheetId="2">Calculation!$H$336</definedName>
    <definedName name="Without_57_60_with_54_57_stroke_value">Calculation!$H$288</definedName>
    <definedName name="Without_57_60_with_57_60_amenity_value">Calculation!$I$192</definedName>
    <definedName name="Without_57_60_with_57_60_AMI_value">Calculation!$I$240</definedName>
    <definedName name="Without_57_60_with_57_60_Dementia_value" localSheetId="2">Calculation!$I$336</definedName>
    <definedName name="Without_57_60_with_57_60_stroke_value">Calculation!$I$288</definedName>
    <definedName name="Without_57_60_with_60_63_amenity_value">Calculation!$J$192</definedName>
    <definedName name="Without_57_60_with_60_63_AMI_value">Calculation!$J$240</definedName>
    <definedName name="Without_57_60_with_60_63_Dementia_value" localSheetId="2">Calculation!$J$336</definedName>
    <definedName name="Without_57_60_with_60_63_sleep_disturbance_value">Calculation!$J$144</definedName>
    <definedName name="Without_57_60_with_60_63_stroke_value">Calculation!$J$288</definedName>
    <definedName name="Without_57_60_with_63_66_amenity_value">Calculation!$K$192</definedName>
    <definedName name="Without_57_60_with_63_66_AMI_value">Calculation!$K$240</definedName>
    <definedName name="Without_57_60_with_63_66_Dementia_value" localSheetId="2">Calculation!$K$336</definedName>
    <definedName name="Without_57_60_with_63_66_sleep_disturbance_value">Calculation!$K$144</definedName>
    <definedName name="Without_57_60_with_63_66_stroke_value">Calculation!$K$288</definedName>
    <definedName name="Without_57_60_with_66_69_amenity_value">Calculation!$L$192</definedName>
    <definedName name="Without_57_60_with_66_69_AMI_value">Calculation!$L$240</definedName>
    <definedName name="Without_57_60_with_66_69_Dementia_value" localSheetId="2">Calculation!$L$336</definedName>
    <definedName name="Without_57_60_with_66_69_sleep_disturbance_value">Calculation!$L$144</definedName>
    <definedName name="Without_57_60_with_66_69_stroke_value">Calculation!$L$288</definedName>
    <definedName name="Without_57_60_with_69_72_amenity_value">Calculation!$M$192</definedName>
    <definedName name="Without_57_60_with_69_72_AMI_value">Calculation!$M$240</definedName>
    <definedName name="Without_57_60_with_69_72_Dementia_value" localSheetId="2">Calculation!$M$336</definedName>
    <definedName name="Without_57_60_with_69_72_sleep_disturbance_value">Calculation!$M$144</definedName>
    <definedName name="Without_57_60_with_69_72_stroke_value">Calculation!$M$288</definedName>
    <definedName name="Without_57_60_with_72_75_amenity_value">Calculation!$N$192</definedName>
    <definedName name="Without_57_60_with_72_75_AMI_value">Calculation!$N$240</definedName>
    <definedName name="Without_57_60_with_72_75_Dementia_value" localSheetId="2">Calculation!$N$336</definedName>
    <definedName name="Without_57_60_with_72_75_sleep_disturbance_value">Calculation!$N$144</definedName>
    <definedName name="Without_57_60_with_72_75_stroke_value">Calculation!$N$288</definedName>
    <definedName name="Without_57_60_with_75_78_amenity_value">Calculation!$O$192</definedName>
    <definedName name="Without_57_60_with_75_78_AMI_value">Calculation!$O$240</definedName>
    <definedName name="Without_57_60_with_75_78_Dementia_value" localSheetId="2">Calculation!$O$336</definedName>
    <definedName name="Without_57_60_with_75_78_sleep_disturbance_value">Calculation!$O$144</definedName>
    <definedName name="Without_57_60_with_75_78_stroke_value">Calculation!$O$288</definedName>
    <definedName name="Without_57_60_with_78_81_amenity_value">Calculation!$P$192</definedName>
    <definedName name="Without_57_60_with_78_81_AMI_value">Calculation!$P$240</definedName>
    <definedName name="Without_57_60_with_78_81_Dementia_value" localSheetId="2">Calculation!$P$336</definedName>
    <definedName name="Without_57_60_with_78_81_sleep_disturbance_value">Calculation!$P$144</definedName>
    <definedName name="Without_57_60_with_78_81_stroke_value">Calculation!$P$288</definedName>
    <definedName name="Without_57_60_with_81_amenity_value">Calculation!$Q$192</definedName>
    <definedName name="Without_57_60_with_81_AMI_value">Calculation!$Q$240</definedName>
    <definedName name="Without_57_60_with_81_Dementia_value" localSheetId="2">Calculation!$Q$336</definedName>
    <definedName name="Without_57_60_with_81_sleep_disturbance_value">Calculation!$Q$144</definedName>
    <definedName name="Without_57_60_with_81_stroke_value">Calculation!$Q$288</definedName>
    <definedName name="Without_57_60_with_xx_amenity_value">Calculation!$D$192:$Q$192</definedName>
    <definedName name="Without_57_60_with_xx_AMI_value">Calculation!$D$240:$Q$240</definedName>
    <definedName name="Without_57_60_with_xx_composite_value">QA!$D$8:$Q$8</definedName>
    <definedName name="Without_57_60_with_xx_dementia_value">Calculation!$D$336:$Q$336</definedName>
    <definedName name="Without_57_60_with_xx_sleep_disturbance_value">Calculation!$D$144:$Q$144</definedName>
    <definedName name="Without_57_60_with_xx_stroke_value">Calculation!$D$288:$Q$288</definedName>
    <definedName name="Without_57_60_with_xx_value">Calculation!$D$75:$Q$75</definedName>
    <definedName name="Without_60_63_with_45_48_amenity_value">Calculation!$E$193</definedName>
    <definedName name="Without_60_63_with_45_48_AMI_value">Calculation!$E$241</definedName>
    <definedName name="Without_60_63_with_45_48_Dementia_value" localSheetId="2">Calculation!$E$337</definedName>
    <definedName name="Without_60_63_with_45_48_stroke_value">Calculation!$E$289</definedName>
    <definedName name="Without_60_63_with_45_amenity_value">Calculation!$D$193</definedName>
    <definedName name="Without_60_63_with_45_AMI_value">Calculation!$D$241</definedName>
    <definedName name="Without_60_63_with_45_Dementia_value" localSheetId="2">Calculation!$D$337</definedName>
    <definedName name="Without_60_63_with_45_stroke_value">Calculation!$D$289</definedName>
    <definedName name="Without_60_63_with_48_51_amenity_value">Calculation!$F$193</definedName>
    <definedName name="Without_60_63_with_48_51_AMI_value">Calculation!$F$241</definedName>
    <definedName name="Without_60_63_with_48_51_Dementia_value" localSheetId="2">Calculation!$F$337</definedName>
    <definedName name="Without_60_63_with_48_51_stroke_value">Calculation!$F$289</definedName>
    <definedName name="Without_60_63_with_51_54_amenity_value">Calculation!$G$193</definedName>
    <definedName name="Without_60_63_with_51_54_AMI_value">Calculation!$G$241</definedName>
    <definedName name="Without_60_63_with_51_54_Dementia_value" localSheetId="2">Calculation!$G$337</definedName>
    <definedName name="Without_60_63_with_51_54_stroke_value">Calculation!$G$289</definedName>
    <definedName name="Without_60_63_with_54_57_amenity_value">Calculation!$H$193</definedName>
    <definedName name="Without_60_63_with_54_57_AMI_value">Calculation!$H$241</definedName>
    <definedName name="Without_60_63_with_54_57_Dementia_value" localSheetId="2">Calculation!$H$337</definedName>
    <definedName name="Without_60_63_with_54_57_stroke_value">Calculation!$H$289</definedName>
    <definedName name="Without_60_63_with_57_60_amenity_value">Calculation!$I$193</definedName>
    <definedName name="Without_60_63_with_57_60_AMI_value">Calculation!$I$241</definedName>
    <definedName name="Without_60_63_with_57_60_Dementia_value" localSheetId="2">Calculation!$I$337</definedName>
    <definedName name="Without_60_63_with_57_60_stroke_value">Calculation!$I$289</definedName>
    <definedName name="Without_60_63_with_60_63_amenity_value">Calculation!$J$193</definedName>
    <definedName name="Without_60_63_with_60_63_AMI_value">Calculation!$J$241</definedName>
    <definedName name="Without_60_63_with_60_63_Dementia_value" localSheetId="2">Calculation!$J$337</definedName>
    <definedName name="Without_60_63_with_60_63_stroke_value">Calculation!$J$289</definedName>
    <definedName name="Without_60_63_with_63_66_amenity_value">Calculation!$K$193</definedName>
    <definedName name="Without_60_63_with_63_66_AMI_value">Calculation!$K$241</definedName>
    <definedName name="Without_60_63_with_63_66_Dementia_value" localSheetId="2">Calculation!$K$337</definedName>
    <definedName name="Without_60_63_with_63_66_sleep_disturbance_value">Calculation!$K$145</definedName>
    <definedName name="Without_60_63_with_63_66_stroke_value">Calculation!$K$289</definedName>
    <definedName name="Without_60_63_with_66_69_amenity_value">Calculation!$L$193</definedName>
    <definedName name="Without_60_63_with_66_69_AMI_value">Calculation!$L$241</definedName>
    <definedName name="Without_60_63_with_66_69_Dementia_value" localSheetId="2">Calculation!$L$337</definedName>
    <definedName name="Without_60_63_with_66_69_sleep_disturbance_value">Calculation!$L$145</definedName>
    <definedName name="Without_60_63_with_66_69_stroke_value">Calculation!$L$289</definedName>
    <definedName name="Without_60_63_with_69_72_amenity_value">Calculation!$M$193</definedName>
    <definedName name="Without_60_63_with_69_72_AMI_value">Calculation!$M$241</definedName>
    <definedName name="Without_60_63_with_69_72_Dementia_value" localSheetId="2">Calculation!$M$337</definedName>
    <definedName name="Without_60_63_with_69_72_sleep_disturbance_value">Calculation!$M$145</definedName>
    <definedName name="Without_60_63_with_69_72_stroke_value">Calculation!$M$289</definedName>
    <definedName name="Without_60_63_with_72_75_amenity_value">Calculation!$N$193</definedName>
    <definedName name="Without_60_63_with_72_75_AMI_value">Calculation!$N$241</definedName>
    <definedName name="Without_60_63_with_72_75_Dementia_value" localSheetId="2">Calculation!$N$337</definedName>
    <definedName name="Without_60_63_with_72_75_sleep_disturbance_value">Calculation!$N$145</definedName>
    <definedName name="Without_60_63_with_72_75_stroke_value">Calculation!$N$289</definedName>
    <definedName name="Without_60_63_with_75_78_amenity_value">Calculation!$O$193</definedName>
    <definedName name="Without_60_63_with_75_78_AMI_value">Calculation!$O$241</definedName>
    <definedName name="Without_60_63_with_75_78_Dementia_value" localSheetId="2">Calculation!$O$337</definedName>
    <definedName name="Without_60_63_with_75_78_sleep_disturbance_value">Calculation!$O$145</definedName>
    <definedName name="Without_60_63_with_75_78_stroke_value">Calculation!$O$289</definedName>
    <definedName name="Without_60_63_with_78_81_amenity_value">Calculation!$P$193</definedName>
    <definedName name="Without_60_63_with_78_81_AMI_value">Calculation!$P$241</definedName>
    <definedName name="Without_60_63_with_78_81_Dementia_value" localSheetId="2">Calculation!$P$337</definedName>
    <definedName name="Without_60_63_with_78_81_sleep_disturbance_value">Calculation!$P$145</definedName>
    <definedName name="Without_60_63_with_78_81_stroke_value">Calculation!$P$289</definedName>
    <definedName name="Without_60_63_with_81_amenity_value">Calculation!$Q$193</definedName>
    <definedName name="Without_60_63_with_81_AMI_value">Calculation!$Q$241</definedName>
    <definedName name="Without_60_63_with_81_Dementia_value" localSheetId="2">Calculation!$Q$337</definedName>
    <definedName name="Without_60_63_with_81_sleep_disturbance_value">Calculation!$Q$145</definedName>
    <definedName name="Without_60_63_with_81_stroke_value">Calculation!$Q$289</definedName>
    <definedName name="Without_60_63_with_xx_amenity_value">Calculation!$D$193:$Q$193</definedName>
    <definedName name="Without_60_63_with_xx_AMI_value">Calculation!$D$241:$Q$241</definedName>
    <definedName name="Without_60_63_with_xx_composite_value">QA!$D$9:$Q$9</definedName>
    <definedName name="Without_60_63_with_xx_dementia_value">Calculation!$D$337:$Q$337</definedName>
    <definedName name="Without_60_63_with_xx_sleep_disturbance_value">Calculation!$D$145:$Q$145</definedName>
    <definedName name="Without_60_63_with_xx_stroke_value">Calculation!$D$289:$Q$289</definedName>
    <definedName name="Without_60_63_with_xx_value">Calculation!$D$76:$Q$76</definedName>
    <definedName name="Without_63_66_with_45_48_amenity_value">Calculation!$E$194</definedName>
    <definedName name="Without_63_66_with_45_48_AMI_value">Calculation!$E$242</definedName>
    <definedName name="Without_63_66_with_45_48_Dementia_value" localSheetId="2">Calculation!$E$338</definedName>
    <definedName name="Without_63_66_with_45_48_stroke_value">Calculation!$E$290</definedName>
    <definedName name="Without_63_66_with_45_amenity_value">Calculation!$D$194</definedName>
    <definedName name="Without_63_66_with_45_AMI_value">Calculation!$D$242</definedName>
    <definedName name="Without_63_66_with_45_Dementia_value" localSheetId="2">Calculation!$D$338</definedName>
    <definedName name="Without_63_66_with_45_stroke_value">Calculation!$D$290</definedName>
    <definedName name="Without_63_66_with_48_51_amenity_value">Calculation!$F$194</definedName>
    <definedName name="Without_63_66_with_48_51_AMI_value">Calculation!$F$242</definedName>
    <definedName name="Without_63_66_with_48_51_Dementia_value" localSheetId="2">Calculation!$F$338</definedName>
    <definedName name="Without_63_66_with_48_51_stroke_value">Calculation!$F$290</definedName>
    <definedName name="Without_63_66_with_51_54_amenity_value">Calculation!$G$194</definedName>
    <definedName name="Without_63_66_with_51_54_AMI_value">Calculation!$G$242</definedName>
    <definedName name="Without_63_66_with_51_54_Dementia_value" localSheetId="2">Calculation!$G$338</definedName>
    <definedName name="Without_63_66_with_51_54_stroke_value">Calculation!$G$290</definedName>
    <definedName name="Without_63_66_with_54_57_amenity_value">Calculation!$H$194</definedName>
    <definedName name="Without_63_66_with_54_57_AMI_value">Calculation!$H$242</definedName>
    <definedName name="Without_63_66_with_54_57_Dementia_value" localSheetId="2">Calculation!$H$338</definedName>
    <definedName name="Without_63_66_with_54_57_stroke_value">Calculation!$H$290</definedName>
    <definedName name="Without_63_66_with_57_60_amenity_value">Calculation!$I$194</definedName>
    <definedName name="Without_63_66_with_57_60_AMI_value">Calculation!$I$242</definedName>
    <definedName name="Without_63_66_with_57_60_Dementia_value" localSheetId="2">Calculation!$I$338</definedName>
    <definedName name="Without_63_66_with_57_60_stroke_value">Calculation!$I$290</definedName>
    <definedName name="Without_63_66_with_60_63_amenity_value">Calculation!$J$194</definedName>
    <definedName name="Without_63_66_with_60_63_AMI_value">Calculation!$J$242</definedName>
    <definedName name="Without_63_66_with_60_63_Dementia_value" localSheetId="2">Calculation!$J$338</definedName>
    <definedName name="Without_63_66_with_60_63_stroke_value">Calculation!$J$290</definedName>
    <definedName name="Without_63_66_with_63_66_amenity_value">Calculation!$K$194</definedName>
    <definedName name="Without_63_66_with_63_66_AMI_value">Calculation!$K$242</definedName>
    <definedName name="Without_63_66_with_63_66_Dementia_value" localSheetId="2">Calculation!$K$338</definedName>
    <definedName name="Without_63_66_with_63_66_stroke_value">Calculation!$K$290</definedName>
    <definedName name="Without_63_66_with_66_69_amenity_value">Calculation!$L$194</definedName>
    <definedName name="Without_63_66_with_66_69_AMI_value">Calculation!$L$242</definedName>
    <definedName name="Without_63_66_with_66_69_Dementia_value" localSheetId="2">Calculation!$L$338</definedName>
    <definedName name="Without_63_66_with_66_69_sleep_disturbance_value">Calculation!$L$146</definedName>
    <definedName name="Without_63_66_with_66_69_stroke_value">Calculation!$L$290</definedName>
    <definedName name="Without_63_66_with_69_72_amenity_value">Calculation!$M$194</definedName>
    <definedName name="Without_63_66_with_69_72_AMI_value">Calculation!$M$242</definedName>
    <definedName name="Without_63_66_with_69_72_Dementia_value" localSheetId="2">Calculation!$M$338</definedName>
    <definedName name="Without_63_66_with_69_72_sleep_disturbance_value">Calculation!$M$146</definedName>
    <definedName name="Without_63_66_with_69_72_stroke_value">Calculation!$M$290</definedName>
    <definedName name="Without_63_66_with_72_75_amenity_value">Calculation!$N$194</definedName>
    <definedName name="Without_63_66_with_72_75_AMI_value">Calculation!$N$242</definedName>
    <definedName name="Without_63_66_with_72_75_Dementia_value" localSheetId="2">Calculation!$N$338</definedName>
    <definedName name="Without_63_66_with_72_75_sleep_disturbance_value">Calculation!$N$146</definedName>
    <definedName name="Without_63_66_with_72_75_stroke_value">Calculation!$N$290</definedName>
    <definedName name="Without_63_66_with_75_78_amenity_value">Calculation!$O$194</definedName>
    <definedName name="Without_63_66_with_75_78_AMI_value">Calculation!$O$242</definedName>
    <definedName name="Without_63_66_with_75_78_Dementia_value" localSheetId="2">Calculation!$O$338</definedName>
    <definedName name="Without_63_66_with_75_78_sleep_disturbance_value">Calculation!$O$146</definedName>
    <definedName name="Without_63_66_with_75_78_stroke_value">Calculation!$O$290</definedName>
    <definedName name="Without_63_66_with_78_81_amenity_value">Calculation!$P$194</definedName>
    <definedName name="Without_63_66_with_78_81_AMI_value">Calculation!$P$242</definedName>
    <definedName name="Without_63_66_with_78_81_Dementia_value" localSheetId="2">Calculation!$P$338</definedName>
    <definedName name="Without_63_66_with_78_81_sleep_disturbance_value">Calculation!$P$146</definedName>
    <definedName name="Without_63_66_with_78_81_stroke_value">Calculation!$P$290</definedName>
    <definedName name="Without_63_66_with_81_amenity_value">Calculation!$Q$194</definedName>
    <definedName name="Without_63_66_with_81_AMI_value">Calculation!$Q$242</definedName>
    <definedName name="Without_63_66_with_81_Dementia_value" localSheetId="2">Calculation!$Q$338</definedName>
    <definedName name="Without_63_66_with_81_sleep_disturbance_value">Calculation!$Q$146</definedName>
    <definedName name="Without_63_66_with_81_stroke_value">Calculation!$Q$290</definedName>
    <definedName name="Without_63_66_with_xx_amenity_value">Calculation!$D$194:$Q$194</definedName>
    <definedName name="Without_63_66_with_xx_AMI_value">Calculation!$D$242:$Q$242</definedName>
    <definedName name="Without_63_66_with_xx_composite_value">QA!$D$10:$Q$10</definedName>
    <definedName name="Without_63_66_with_xx_dementia_value">Calculation!$D$338:$Q$338</definedName>
    <definedName name="Without_63_66_with_xx_sleep_disturbance_value">Calculation!$D$146:$Q$146</definedName>
    <definedName name="Without_63_66_with_xx_stroke_value">Calculation!$D$290:$Q$290</definedName>
    <definedName name="Without_63_66_with_xx_value">Calculation!$D$77:$Q$77</definedName>
    <definedName name="Without_66_69_with_45_48_amenity_value">Calculation!$E$195</definedName>
    <definedName name="Without_66_69_with_45_48_AMI_value">Calculation!$E$243</definedName>
    <definedName name="Without_66_69_with_45_48_Dementia_value" localSheetId="2">Calculation!$E$339</definedName>
    <definedName name="Without_66_69_with_45_48_stroke_value">Calculation!$E$291</definedName>
    <definedName name="Without_66_69_with_45_amenity_value">Calculation!$D$195</definedName>
    <definedName name="Without_66_69_with_45_AMI_value">Calculation!$D$243</definedName>
    <definedName name="Without_66_69_with_45_Dementia_value" localSheetId="2">Calculation!$D$339</definedName>
    <definedName name="Without_66_69_with_45_stroke_value">Calculation!$D$291</definedName>
    <definedName name="Without_66_69_with_48_51_amenity_value">Calculation!$F$195</definedName>
    <definedName name="Without_66_69_with_48_51_AMI_value">Calculation!$F$243</definedName>
    <definedName name="Without_66_69_with_48_51_Dementia_value" localSheetId="2">Calculation!$F$339</definedName>
    <definedName name="Without_66_69_with_48_51_stroke_value">Calculation!$F$291</definedName>
    <definedName name="Without_66_69_with_51_54_amenity_value">Calculation!$G$195</definedName>
    <definedName name="Without_66_69_with_51_54_AMI_value">Calculation!$G$243</definedName>
    <definedName name="Without_66_69_with_51_54_Dementia_value" localSheetId="2">Calculation!$G$339</definedName>
    <definedName name="Without_66_69_with_51_54_stroke_value">Calculation!$G$291</definedName>
    <definedName name="Without_66_69_with_54_57_amenity_value">Calculation!$H$195</definedName>
    <definedName name="Without_66_69_with_54_57_AMI_value">Calculation!$H$243</definedName>
    <definedName name="Without_66_69_with_54_57_Dementia_value" localSheetId="2">Calculation!$H$339</definedName>
    <definedName name="Without_66_69_with_54_57_stroke_value">Calculation!$H$291</definedName>
    <definedName name="Without_66_69_with_57_60_amenity_value">Calculation!$I$195</definedName>
    <definedName name="Without_66_69_with_57_60_AMI_value">Calculation!$I$243</definedName>
    <definedName name="Without_66_69_with_57_60_Dementia_value" localSheetId="2">Calculation!$I$339</definedName>
    <definedName name="Without_66_69_with_57_60_stroke_value">Calculation!$I$291</definedName>
    <definedName name="Without_66_69_with_60_63_amenity_value">Calculation!$J$195</definedName>
    <definedName name="Without_66_69_with_60_63_AMI_value">Calculation!$J$243</definedName>
    <definedName name="Without_66_69_with_60_63_Dementia_value" localSheetId="2">Calculation!$J$339</definedName>
    <definedName name="Without_66_69_with_60_63_stroke_value">Calculation!$J$291</definedName>
    <definedName name="Without_66_69_with_63_66_amenity_value">Calculation!$K$195</definedName>
    <definedName name="Without_66_69_with_63_66_AMI_value">Calculation!$K$243</definedName>
    <definedName name="Without_66_69_with_63_66_Dementia_value" localSheetId="2">Calculation!$K$339</definedName>
    <definedName name="Without_66_69_with_63_66_stroke_value">Calculation!$K$291</definedName>
    <definedName name="Without_66_69_with_66_69_amenity_value">Calculation!$L$195</definedName>
    <definedName name="Without_66_69_with_66_69_AMI_value">Calculation!$L$243</definedName>
    <definedName name="Without_66_69_with_66_69_Dementia_value" localSheetId="2">Calculation!$L$339</definedName>
    <definedName name="Without_66_69_with_66_69_stroke_value">Calculation!$L$291</definedName>
    <definedName name="Without_66_69_with_69_72_amenity_value">Calculation!$M$195</definedName>
    <definedName name="Without_66_69_with_69_72_AMI_value">Calculation!$M$243</definedName>
    <definedName name="Without_66_69_with_69_72_Dementia_value" localSheetId="2">Calculation!$M$339</definedName>
    <definedName name="Without_66_69_with_69_72_sleep_disturbance_value">Calculation!$M$147</definedName>
    <definedName name="Without_66_69_with_69_72_stroke_value">Calculation!$M$291</definedName>
    <definedName name="Without_66_69_with_72_75_amenity_value">Calculation!$N$195</definedName>
    <definedName name="Without_66_69_with_72_75_AMI_value">Calculation!$N$243</definedName>
    <definedName name="Without_66_69_with_72_75_Dementia_value" localSheetId="2">Calculation!$N$339</definedName>
    <definedName name="Without_66_69_with_72_75_sleep_disturbance_value">Calculation!$N$147</definedName>
    <definedName name="Without_66_69_with_72_75_stroke_value">Calculation!$N$291</definedName>
    <definedName name="Without_66_69_with_75_78_amenity_value">Calculation!$O$195</definedName>
    <definedName name="Without_66_69_with_75_78_AMI_value">Calculation!$O$243</definedName>
    <definedName name="Without_66_69_with_75_78_Dementia_value" localSheetId="2">Calculation!$O$339</definedName>
    <definedName name="Without_66_69_with_75_78_sleep_disturbance_value">Calculation!$O$147</definedName>
    <definedName name="Without_66_69_with_75_78_stroke_value">Calculation!$O$291</definedName>
    <definedName name="Without_66_69_with_78_81_amenity_value">Calculation!$P$195</definedName>
    <definedName name="Without_66_69_with_78_81_AMI_value">Calculation!$P$243</definedName>
    <definedName name="Without_66_69_with_78_81_Dementia_value" localSheetId="2">Calculation!$P$339</definedName>
    <definedName name="Without_66_69_with_78_81_sleep_disturbance_value">Calculation!$P$147</definedName>
    <definedName name="Without_66_69_with_78_81_stroke_value">Calculation!$P$291</definedName>
    <definedName name="Without_66_69_with_81_amenity_value">Calculation!$Q$195</definedName>
    <definedName name="Without_66_69_with_81_AMI_value">Calculation!$Q$243</definedName>
    <definedName name="Without_66_69_with_81_Dementia_value" localSheetId="2">Calculation!$Q$339</definedName>
    <definedName name="Without_66_69_with_81_sleep_disturbance_value">Calculation!$Q$147</definedName>
    <definedName name="Without_66_69_with_81_stroke_value">Calculation!$Q$291</definedName>
    <definedName name="Without_66_69_with_xx_amenity_value">Calculation!$D$195:$Q$195</definedName>
    <definedName name="Without_66_69_with_xx_AMI_value">Calculation!$D$243:$Q$243</definedName>
    <definedName name="Without_66_69_with_xx_composite_value">QA!$D$11:$Q$11</definedName>
    <definedName name="Without_66_69_with_xx_dementia_value">Calculation!$D$339:$Q$339</definedName>
    <definedName name="Without_66_69_with_xx_sleep_disturbance_value">Calculation!$D$147:$Q$147</definedName>
    <definedName name="Without_66_69_with_xx_stroke_value">Calculation!$D$291:$Q$291</definedName>
    <definedName name="Without_66_69_with_xx_value">Calculation!$D$78:$Q$78</definedName>
    <definedName name="Without_69_72_with_45_48_amenity_value">Calculation!$E$196</definedName>
    <definedName name="Without_69_72_with_45_48_AMI_value">Calculation!$E$244</definedName>
    <definedName name="Without_69_72_with_45_48_Dementia_value" localSheetId="2">Calculation!$E$340</definedName>
    <definedName name="Without_69_72_with_45_48_stroke_value">Calculation!$E$292</definedName>
    <definedName name="Without_69_72_with_45_amenity_value">Calculation!$D$196</definedName>
    <definedName name="Without_69_72_with_45_AMI_value">Calculation!$D$244</definedName>
    <definedName name="Without_69_72_with_45_Dementia_value" localSheetId="2">Calculation!$D$340</definedName>
    <definedName name="Without_69_72_with_45_stroke_value">Calculation!$D$292</definedName>
    <definedName name="Without_69_72_with_48_51_amenity_value">Calculation!$F$196</definedName>
    <definedName name="Without_69_72_with_48_51_AMI_value">Calculation!$F$244</definedName>
    <definedName name="Without_69_72_with_48_51_Dementia_value" localSheetId="2">Calculation!$F$340</definedName>
    <definedName name="Without_69_72_with_48_51_stroke_value">Calculation!$F$292</definedName>
    <definedName name="Without_69_72_with_51_54_amenity_value">Calculation!$G$196</definedName>
    <definedName name="Without_69_72_with_51_54_AMI_value">Calculation!$G$244</definedName>
    <definedName name="Without_69_72_with_51_54_Dementia_value" localSheetId="2">Calculation!$G$340</definedName>
    <definedName name="Without_69_72_with_51_54_stroke_value">Calculation!$G$292</definedName>
    <definedName name="Without_69_72_with_54_57_amenity_value">Calculation!$H$196</definedName>
    <definedName name="Without_69_72_with_54_57_AMI_value">Calculation!$H$244</definedName>
    <definedName name="Without_69_72_with_54_57_Dementia_value" localSheetId="2">Calculation!$H$340</definedName>
    <definedName name="Without_69_72_with_54_57_stroke_value">Calculation!$H$292</definedName>
    <definedName name="Without_69_72_with_57_60_amenity_value">Calculation!$I$196</definedName>
    <definedName name="Without_69_72_with_57_60_AMI_value">Calculation!$I$244</definedName>
    <definedName name="Without_69_72_with_57_60_Dementia_value" localSheetId="2">Calculation!$I$340</definedName>
    <definedName name="Without_69_72_with_57_60_stroke_value">Calculation!$I$292</definedName>
    <definedName name="Without_69_72_with_60_63_amenity_value">Calculation!$J$196</definedName>
    <definedName name="Without_69_72_with_60_63_AMI_value">Calculation!$J$244</definedName>
    <definedName name="Without_69_72_with_60_63_Dementia_value" localSheetId="2">Calculation!$J$340</definedName>
    <definedName name="Without_69_72_with_60_63_stroke_value">Calculation!$J$292</definedName>
    <definedName name="Without_69_72_with_63_66_amenity_value">Calculation!$K$196</definedName>
    <definedName name="Without_69_72_with_63_66_AMI_value">Calculation!$K$244</definedName>
    <definedName name="Without_69_72_with_63_66_Dementia_value" localSheetId="2">Calculation!$K$340</definedName>
    <definedName name="Without_69_72_with_63_66_stroke_value">Calculation!$K$292</definedName>
    <definedName name="Without_69_72_with_66_69_amenity_value">Calculation!$L$196</definedName>
    <definedName name="Without_69_72_with_66_69_AMI_value">Calculation!$L$244</definedName>
    <definedName name="Without_69_72_with_66_69_Dementia_value" localSheetId="2">Calculation!$L$340</definedName>
    <definedName name="Without_69_72_with_66_69_stroke_value">Calculation!$L$292</definedName>
    <definedName name="Without_69_72_with_69_72_amenity_value">Calculation!$M$196</definedName>
    <definedName name="Without_69_72_with_69_72_AMI_value">Calculation!$M$244</definedName>
    <definedName name="Without_69_72_with_69_72_Dementia_value" localSheetId="2">Calculation!$M$340</definedName>
    <definedName name="Without_69_72_with_69_72_stroke_value">Calculation!$M$292</definedName>
    <definedName name="Without_69_72_with_72_75_amenity_value">Calculation!$N$196</definedName>
    <definedName name="Without_69_72_with_72_75_AMI_value">Calculation!$N$244</definedName>
    <definedName name="Without_69_72_with_72_75_Dementia_value" localSheetId="2">Calculation!$N$340</definedName>
    <definedName name="Without_69_72_with_72_75_sleep_disturbance_value">Calculation!$N$148</definedName>
    <definedName name="Without_69_72_with_72_75_stroke_value">Calculation!$N$292</definedName>
    <definedName name="Without_69_72_with_75_78_amenity_value">Calculation!$O$196</definedName>
    <definedName name="Without_69_72_with_75_78_AMI_value">Calculation!$O$244</definedName>
    <definedName name="Without_69_72_with_75_78_Dementia_value" localSheetId="2">Calculation!$O$340</definedName>
    <definedName name="Without_69_72_with_75_78_sleep_disturbance_value">Calculation!$O$148</definedName>
    <definedName name="Without_69_72_with_75_78_stroke_value">Calculation!$O$292</definedName>
    <definedName name="Without_69_72_with_78_81_amenity_value">Calculation!$P$196</definedName>
    <definedName name="Without_69_72_with_78_81_AMI_value">Calculation!$P$244</definedName>
    <definedName name="Without_69_72_with_78_81_Dementia_value" localSheetId="2">Calculation!$P$340</definedName>
    <definedName name="Without_69_72_with_78_81_sleep_disturbance_value">Calculation!$P$148</definedName>
    <definedName name="Without_69_72_with_78_81_stroke_value">Calculation!$P$292</definedName>
    <definedName name="Without_69_72_with_81_amenity_value">Calculation!$Q$196</definedName>
    <definedName name="Without_69_72_with_81_AMI_value">Calculation!$Q$244</definedName>
    <definedName name="Without_69_72_with_81_Dementia_value" localSheetId="2">Calculation!$Q$340</definedName>
    <definedName name="Without_69_72_with_81_sleep_disturbance_value">Calculation!$Q$148</definedName>
    <definedName name="Without_69_72_with_81_stroke_value">Calculation!$Q$292</definedName>
    <definedName name="Without_69_72_with_xx_amenity_value">Calculation!$D$196:$Q$196</definedName>
    <definedName name="Without_69_72_with_xx_AMI_value">Calculation!$D$244:$Q$244</definedName>
    <definedName name="Without_69_72_with_xx_composite_value">QA!$D$12:$Q$12</definedName>
    <definedName name="Without_69_72_with_xx_dementia_value">Calculation!$D$340:$Q$340</definedName>
    <definedName name="Without_69_72_with_xx_sleep_disturbance_value">Calculation!$D$148:$Q$148</definedName>
    <definedName name="Without_69_72_with_xx_stroke_value">Calculation!$D$292:$Q$292</definedName>
    <definedName name="Without_69_72_with_xx_value">Calculation!$D$86:$Q$86</definedName>
    <definedName name="Without_72_75_with_45_48_amenity_value">Calculation!$E$197</definedName>
    <definedName name="Without_72_75_with_45_48_AMI_value">Calculation!$E$245</definedName>
    <definedName name="Without_72_75_with_45_48_Dementia_value" localSheetId="2">Calculation!$E$341</definedName>
    <definedName name="Without_72_75_with_45_48_stroke_value">Calculation!$E$293</definedName>
    <definedName name="Without_72_75_with_45_amenity_value">Calculation!$D$197</definedName>
    <definedName name="Without_72_75_with_45_AMI_value">Calculation!$D$245</definedName>
    <definedName name="Without_72_75_with_45_Dementia_value" localSheetId="2">Calculation!$D$341</definedName>
    <definedName name="Without_72_75_with_45_stroke_value">Calculation!$D$293</definedName>
    <definedName name="Without_72_75_with_48_51_amenity_value">Calculation!$F$197</definedName>
    <definedName name="Without_72_75_with_48_51_AMI_value">Calculation!$F$245</definedName>
    <definedName name="Without_72_75_with_48_51_Dementia_value" localSheetId="2">Calculation!$F$341</definedName>
    <definedName name="Without_72_75_with_48_51_stroke_value">Calculation!$F$293</definedName>
    <definedName name="Without_72_75_with_51_54_amenity_value">Calculation!$G$197</definedName>
    <definedName name="Without_72_75_with_51_54_AMI_value">Calculation!$G$245</definedName>
    <definedName name="Without_72_75_with_51_54_Dementia_value" localSheetId="2">Calculation!$G$341</definedName>
    <definedName name="Without_72_75_with_51_54_stroke_value">Calculation!$G$293</definedName>
    <definedName name="Without_72_75_with_54_57_amenity_value">Calculation!$H$197</definedName>
    <definedName name="Without_72_75_with_54_57_AMI_value">Calculation!$H$245</definedName>
    <definedName name="Without_72_75_with_54_57_Dementia_value" localSheetId="2">Calculation!$H$341</definedName>
    <definedName name="Without_72_75_with_54_57_stroke_value">Calculation!$H$293</definedName>
    <definedName name="Without_72_75_with_57_60_amenity_value">Calculation!$I$197</definedName>
    <definedName name="Without_72_75_with_57_60_AMI_value">Calculation!$I$245</definedName>
    <definedName name="Without_72_75_with_57_60_Dementia_value" localSheetId="2">Calculation!$I$341</definedName>
    <definedName name="Without_72_75_with_57_60_stroke_value">Calculation!$I$293</definedName>
    <definedName name="Without_72_75_with_60_63_amenity_value">Calculation!$J$197</definedName>
    <definedName name="Without_72_75_with_60_63_AMI_value">Calculation!$J$245</definedName>
    <definedName name="Without_72_75_with_60_63_Dementia_value" localSheetId="2">Calculation!$J$341</definedName>
    <definedName name="Without_72_75_with_60_63_stroke_value">Calculation!$J$293</definedName>
    <definedName name="Without_72_75_with_63_66_amenity_value">Calculation!$K$197</definedName>
    <definedName name="Without_72_75_with_63_66_AMI_value">Calculation!$K$245</definedName>
    <definedName name="Without_72_75_with_63_66_Dementia_value" localSheetId="2">Calculation!$K$341</definedName>
    <definedName name="Without_72_75_with_63_66_stroke_value">Calculation!$K$293</definedName>
    <definedName name="Without_72_75_with_66_69_amenity_value">Calculation!$L$197</definedName>
    <definedName name="Without_72_75_with_66_69_AMI_value">Calculation!$L$245</definedName>
    <definedName name="Without_72_75_with_66_69_Dementia_value" localSheetId="2">Calculation!$L$341</definedName>
    <definedName name="Without_72_75_with_66_69_stroke_value">Calculation!$L$293</definedName>
    <definedName name="Without_72_75_with_69_72_amenity_value">Calculation!$M$197</definedName>
    <definedName name="Without_72_75_with_69_72_AMI_value">Calculation!$M$245</definedName>
    <definedName name="Without_72_75_with_69_72_Dementia_value" localSheetId="2">Calculation!$M$341</definedName>
    <definedName name="Without_72_75_with_69_72_stroke_value">Calculation!$M$293</definedName>
    <definedName name="Without_72_75_with_72_75_amenity_value">Calculation!$N$197</definedName>
    <definedName name="Without_72_75_with_72_75_AMI_value">Calculation!$N$245</definedName>
    <definedName name="Without_72_75_with_72_75_Dementia_value" localSheetId="2">Calculation!$N$341</definedName>
    <definedName name="Without_72_75_with_72_75_stroke_value">Calculation!$N$293</definedName>
    <definedName name="Without_72_75_with_75_78_amenity_value">Calculation!$O$197</definedName>
    <definedName name="Without_72_75_with_75_78_AMI_value">Calculation!$O$245</definedName>
    <definedName name="Without_72_75_with_75_78_Dementia_value" localSheetId="2">Calculation!$O$341</definedName>
    <definedName name="Without_72_75_with_75_78_sleep_disturbance_value">Calculation!$O$149</definedName>
    <definedName name="Without_72_75_with_75_78_stroke_value">Calculation!$O$293</definedName>
    <definedName name="Without_72_75_with_78_81_amenity_value">Calculation!$P$197</definedName>
    <definedName name="Without_72_75_with_78_81_AMI_value">Calculation!$P$245</definedName>
    <definedName name="Without_72_75_with_78_81_Dementia_value" localSheetId="2">Calculation!$P$341</definedName>
    <definedName name="Without_72_75_with_78_81_sleep_disturbance_value">Calculation!$P$149</definedName>
    <definedName name="Without_72_75_with_78_81_stroke_value">Calculation!$P$293</definedName>
    <definedName name="Without_72_75_with_81_amenity_value">Calculation!$Q$197</definedName>
    <definedName name="Without_72_75_with_81_AMI_value">Calculation!$Q$245</definedName>
    <definedName name="Without_72_75_with_81_Dementia_value" localSheetId="2">Calculation!$Q$341</definedName>
    <definedName name="Without_72_75_with_81_sleep_disturbance_value">Calculation!$Q$149</definedName>
    <definedName name="Without_72_75_with_81_stroke_value">Calculation!$Q$293</definedName>
    <definedName name="Without_72_75_with_xx_amenity_value">Calculation!$D$197:$Q$197</definedName>
    <definedName name="Without_72_75_with_xx_AMI_value">Calculation!$D$245:$Q$245</definedName>
    <definedName name="Without_72_75_with_xx_composite_value">QA!$D$13:$Q$13</definedName>
    <definedName name="Without_72_75_with_xx_dementia_value">Calculation!$D$341:$Q$341</definedName>
    <definedName name="Without_72_75_with_xx_sleep_disturbance_value">Calculation!$D$149:$Q$149</definedName>
    <definedName name="Without_72_75_with_xx_stroke_value">Calculation!$D$293:$Q$293</definedName>
    <definedName name="Without_72_75_with_xx_value">Calculation!$D$87:$Q$87</definedName>
    <definedName name="Without_75_78_with_45_48_amenity_value">Calculation!$E$198</definedName>
    <definedName name="Without_75_78_with_45_48_AMI_value">Calculation!$E$246</definedName>
    <definedName name="Without_75_78_with_45_48_Dementia_value" localSheetId="2">Calculation!$E$342</definedName>
    <definedName name="Without_75_78_with_45_48_stroke_value">Calculation!$E$294</definedName>
    <definedName name="Without_75_78_with_45_amenity_value">Calculation!$D$198</definedName>
    <definedName name="Without_75_78_with_45_AMI_value">Calculation!$D$246</definedName>
    <definedName name="Without_75_78_with_45_Dementia_value" localSheetId="2">Calculation!$D$342</definedName>
    <definedName name="Without_75_78_with_45_stroke_value">Calculation!$D$294</definedName>
    <definedName name="Without_75_78_with_48_51_amenity_value">Calculation!$F$198</definedName>
    <definedName name="Without_75_78_with_48_51_AMI_value">Calculation!$F$246</definedName>
    <definedName name="Without_75_78_with_48_51_Dementia_value" localSheetId="2">Calculation!$F$342</definedName>
    <definedName name="Without_75_78_with_48_51_stroke_value">Calculation!$F$294</definedName>
    <definedName name="Without_75_78_with_51_54_amenity_value">Calculation!$G$198</definedName>
    <definedName name="Without_75_78_with_51_54_AMI_value">Calculation!$G$246</definedName>
    <definedName name="Without_75_78_with_51_54_Dementia_value" localSheetId="2">Calculation!$G$342</definedName>
    <definedName name="Without_75_78_with_51_54_stroke_value">Calculation!$G$294</definedName>
    <definedName name="Without_75_78_with_54_57_amenity_value">Calculation!$H$198</definedName>
    <definedName name="Without_75_78_with_54_57_AMI_value">Calculation!$H$246</definedName>
    <definedName name="Without_75_78_with_54_57_Dementia_value" localSheetId="2">Calculation!$H$342</definedName>
    <definedName name="Without_75_78_with_54_57_stroke_value">Calculation!$H$294</definedName>
    <definedName name="Without_75_78_with_57_60_amenity_value">Calculation!$I$198</definedName>
    <definedName name="Without_75_78_with_57_60_AMI_value">Calculation!$I$246</definedName>
    <definedName name="Without_75_78_with_57_60_Dementia_value" localSheetId="2">Calculation!$I$342</definedName>
    <definedName name="Without_75_78_with_57_60_stroke_value">Calculation!$I$294</definedName>
    <definedName name="Without_75_78_with_60_63_amenity_value">Calculation!$J$198</definedName>
    <definedName name="Without_75_78_with_60_63_AMI_value">Calculation!$J$246</definedName>
    <definedName name="Without_75_78_with_60_63_Dementia_value" localSheetId="2">Calculation!$J$342</definedName>
    <definedName name="Without_75_78_with_60_63_stroke_value">Calculation!$J$294</definedName>
    <definedName name="Without_75_78_with_63_66_amenity_value">Calculation!$K$198</definedName>
    <definedName name="Without_75_78_with_63_66_AMI_value">Calculation!$K$246</definedName>
    <definedName name="Without_75_78_with_63_66_Dementia_value" localSheetId="2">Calculation!$K$342</definedName>
    <definedName name="Without_75_78_with_63_66_stroke_value">Calculation!$K$294</definedName>
    <definedName name="Without_75_78_with_66_69_amenity_value">Calculation!$L$198</definedName>
    <definedName name="Without_75_78_with_66_69_AMI_value">Calculation!$L$246</definedName>
    <definedName name="Without_75_78_with_66_69_Dementia_value" localSheetId="2">Calculation!$L$342</definedName>
    <definedName name="Without_75_78_with_66_69_stroke_value">Calculation!$L$294</definedName>
    <definedName name="Without_75_78_with_69_72_amenity_value">Calculation!$M$198</definedName>
    <definedName name="Without_75_78_with_69_72_AMI_value">Calculation!$M$246</definedName>
    <definedName name="Without_75_78_with_69_72_Dementia_value" localSheetId="2">Calculation!$M$342</definedName>
    <definedName name="Without_75_78_with_69_72_stroke_value">Calculation!$M$294</definedName>
    <definedName name="Without_75_78_with_72_75_amenity_value">Calculation!$N$198</definedName>
    <definedName name="Without_75_78_with_72_75_AMI_value">Calculation!$N$246</definedName>
    <definedName name="Without_75_78_with_72_75_Dementia_value" localSheetId="2">Calculation!$N$342</definedName>
    <definedName name="Without_75_78_with_72_75_stroke_value">Calculation!$N$294</definedName>
    <definedName name="Without_75_78_with_75_78_amenity_value">Calculation!$O$198</definedName>
    <definedName name="Without_75_78_with_75_78_AMI_value">Calculation!$O$246</definedName>
    <definedName name="Without_75_78_with_75_78_Dementia_value" localSheetId="2">Calculation!$O$342</definedName>
    <definedName name="Without_75_78_with_75_78_stroke_value">Calculation!$O$294</definedName>
    <definedName name="Without_75_78_with_78_81_amenity_value">Calculation!$P$198</definedName>
    <definedName name="Without_75_78_with_78_81_AMI_value">Calculation!$P$246</definedName>
    <definedName name="Without_75_78_with_78_81_Dementia_value" localSheetId="2">Calculation!$P$342</definedName>
    <definedName name="Without_75_78_with_78_81_sleep_disturbance_value">Calculation!$P$150</definedName>
    <definedName name="Without_75_78_with_78_81_stroke_value">Calculation!$P$294</definedName>
    <definedName name="Without_75_78_with_81_amenity_value">Calculation!$Q$198</definedName>
    <definedName name="Without_75_78_with_81_AMI_value">Calculation!$Q$246</definedName>
    <definedName name="Without_75_78_with_81_Dementia_value" localSheetId="2">Calculation!$Q$342</definedName>
    <definedName name="Without_75_78_with_81_sleep_disturbance_value">Calculation!$Q$150</definedName>
    <definedName name="Without_75_78_with_81_stroke_value">Calculation!$Q$294</definedName>
    <definedName name="Without_75_78_with_xx_amenity_value">Calculation!$D$198:$Q$198</definedName>
    <definedName name="Without_75_78_with_xx_AMI_value">Calculation!$D$246:$Q$246</definedName>
    <definedName name="Without_75_78_with_xx_composite_value">QA!$D$14:$Q$14</definedName>
    <definedName name="Without_75_78_with_xx_dementia_value">Calculation!$D$342:$Q$342</definedName>
    <definedName name="Without_75_78_with_xx_sleep_disturbance_value">Calculation!$D$150:$Q$150</definedName>
    <definedName name="Without_75_78_with_xx_stroke_value">Calculation!$D$294:$Q$294</definedName>
    <definedName name="Without_75_78_with_xx_value">Calculation!$D$88:$Q$88</definedName>
    <definedName name="Without_78_81_with_45_48_amenity_value">Calculation!$E$199</definedName>
    <definedName name="Without_78_81_with_45_48_AMI_value">Calculation!$E$247</definedName>
    <definedName name="Without_78_81_with_45_48_Dementia_value" localSheetId="2">Calculation!$E$343</definedName>
    <definedName name="Without_78_81_with_45_48_stroke_value">Calculation!$E$295</definedName>
    <definedName name="Without_78_81_with_45_amenity_value">Calculation!$D$199</definedName>
    <definedName name="Without_78_81_with_45_AMI_value">Calculation!$D$247</definedName>
    <definedName name="Without_78_81_with_45_Dementia_value" localSheetId="2">Calculation!$D$343</definedName>
    <definedName name="Without_78_81_with_45_stroke_value">Calculation!$D$295</definedName>
    <definedName name="Without_78_81_with_48_51_amenity_value">Calculation!$F$199</definedName>
    <definedName name="Without_78_81_with_48_51_AMI_value">Calculation!$F$247</definedName>
    <definedName name="Without_78_81_with_48_51_Dementia_value" localSheetId="2">Calculation!$F$343</definedName>
    <definedName name="Without_78_81_with_48_51_stroke_value">Calculation!$F$295</definedName>
    <definedName name="Without_78_81_with_51_54_amenity_value">Calculation!$G$199</definedName>
    <definedName name="Without_78_81_with_51_54_AMI_value">Calculation!$G$247</definedName>
    <definedName name="Without_78_81_with_51_54_Dementia_value" localSheetId="2">Calculation!$G$343</definedName>
    <definedName name="Without_78_81_with_51_54_stroke_value">Calculation!$G$295</definedName>
    <definedName name="Without_78_81_with_54_57_amenity_value">Calculation!$H$199</definedName>
    <definedName name="Without_78_81_with_54_57_AMI_value">Calculation!$H$247</definedName>
    <definedName name="Without_78_81_with_54_57_Dementia_value" localSheetId="2">Calculation!$H$343</definedName>
    <definedName name="Without_78_81_with_54_57_stroke_value">Calculation!$H$295</definedName>
    <definedName name="Without_78_81_with_57_60_amenity_value">Calculation!$I$199</definedName>
    <definedName name="Without_78_81_with_57_60_AMI_value">Calculation!$I$247</definedName>
    <definedName name="Without_78_81_with_57_60_Dementia_value" localSheetId="2">Calculation!$I$343</definedName>
    <definedName name="Without_78_81_with_57_60_stroke_value">Calculation!$I$295</definedName>
    <definedName name="Without_78_81_with_60_63_amenity_value">Calculation!$J$199</definedName>
    <definedName name="Without_78_81_with_60_63_AMI_value">Calculation!$J$247</definedName>
    <definedName name="Without_78_81_with_60_63_Dementia_value" localSheetId="2">Calculation!$J$343</definedName>
    <definedName name="Without_78_81_with_60_63_stroke_value">Calculation!$J$295</definedName>
    <definedName name="Without_78_81_with_63_66_amenity_value">Calculation!$K$199</definedName>
    <definedName name="Without_78_81_with_63_66_AMI_value">Calculation!$K$247</definedName>
    <definedName name="Without_78_81_with_63_66_Dementia_value" localSheetId="2">Calculation!$K$343</definedName>
    <definedName name="Without_78_81_with_63_66_stroke_value">Calculation!$K$295</definedName>
    <definedName name="Without_78_81_with_66_69_amenity_value">Calculation!$L$199</definedName>
    <definedName name="Without_78_81_with_66_69_AMI_value">Calculation!$L$247</definedName>
    <definedName name="Without_78_81_with_66_69_Dementia_value" localSheetId="2">Calculation!$L$343</definedName>
    <definedName name="Without_78_81_with_66_69_stroke_value">Calculation!$L$295</definedName>
    <definedName name="Without_78_81_with_69_72_amenity_value">Calculation!$M$199</definedName>
    <definedName name="Without_78_81_with_69_72_AMI_value">Calculation!$M$247</definedName>
    <definedName name="Without_78_81_with_69_72_Dementia_value" localSheetId="2">Calculation!$M$343</definedName>
    <definedName name="Without_78_81_with_69_72_stroke_value">Calculation!$M$295</definedName>
    <definedName name="Without_78_81_with_72_75_amenity_value">Calculation!$N$199</definedName>
    <definedName name="Without_78_81_with_72_75_AMI_value">Calculation!$N$247</definedName>
    <definedName name="Without_78_81_with_72_75_Dementia_value" localSheetId="2">Calculation!$N$343</definedName>
    <definedName name="Without_78_81_with_72_75_stroke_value">Calculation!$N$295</definedName>
    <definedName name="Without_78_81_with_75_78_amenity_value">Calculation!$O$199</definedName>
    <definedName name="Without_78_81_with_75_78_AMI_value">Calculation!$O$247</definedName>
    <definedName name="Without_78_81_with_75_78_Dementia_value" localSheetId="2">Calculation!$O$343</definedName>
    <definedName name="Without_78_81_with_75_78_stroke_value">Calculation!$O$295</definedName>
    <definedName name="Without_78_81_with_78_81_amenity_value">Calculation!$P$199</definedName>
    <definedName name="Without_78_81_with_78_81_AMI_value">Calculation!$P$247</definedName>
    <definedName name="Without_78_81_with_78_81_Dementia_value" localSheetId="2">Calculation!$P$343</definedName>
    <definedName name="Without_78_81_with_78_81_stroke_value">Calculation!$P$295</definedName>
    <definedName name="Without_78_81_with_81_amenity_value">Calculation!$Q$199</definedName>
    <definedName name="Without_78_81_with_81_AMI_value">Calculation!$Q$247</definedName>
    <definedName name="Without_78_81_with_81_Dementia_value" localSheetId="2">Calculation!$Q$343</definedName>
    <definedName name="Without_78_81_with_81_sleep_disturbance_value">Calculation!$Q$151</definedName>
    <definedName name="Without_78_81_with_81_stroke_value">Calculation!$Q$295</definedName>
    <definedName name="Without_78_81_with_xx_amenity_value">Calculation!$D$199:$Q$199</definedName>
    <definedName name="Without_78_81_with_xx_AMI_value">Calculation!$D$247:$Q$247</definedName>
    <definedName name="Without_78_81_with_xx_composite_value">QA!$D$15:$Q$15</definedName>
    <definedName name="Without_78_81_with_xx_dementia_value">Calculation!$D$343:$Q$343</definedName>
    <definedName name="Without_78_81_with_xx_sleep_disturbance_value">Calculation!$D$151:$Q$151</definedName>
    <definedName name="Without_78_81_with_xx_stroke_value">Calculation!$D$295:$Q$295</definedName>
    <definedName name="Without_78_81_with_xx_value">Calculation!$D$89:$Q$89</definedName>
    <definedName name="Without_81_with_45_48_amenity_value">Calculation!$E$200</definedName>
    <definedName name="Without_81_with_45_48_AMI_value">Calculation!$E$248</definedName>
    <definedName name="Without_81_with_45_48_Dementia_value" localSheetId="2">Calculation!$E$344</definedName>
    <definedName name="Without_81_with_45_48_stroke_value">Calculation!$E$296</definedName>
    <definedName name="Without_81_with_45_amenity_value">Calculation!$D$200</definedName>
    <definedName name="Without_81_with_45_AMI_value">Calculation!$D$248</definedName>
    <definedName name="Without_81_with_45_Dementia_value" localSheetId="2">Calculation!$D$344</definedName>
    <definedName name="Without_81_with_45_stroke_value">Calculation!$D$296</definedName>
    <definedName name="Without_81_with_48_51_amenity_value">Calculation!$F$200</definedName>
    <definedName name="Without_81_with_48_51_AMI_value">Calculation!$F$248</definedName>
    <definedName name="Without_81_with_48_51_Dementia_value" localSheetId="2">Calculation!$F$344</definedName>
    <definedName name="Without_81_with_48_51_stroke_value">Calculation!$F$296</definedName>
    <definedName name="Without_81_with_51_54_amenity_value">Calculation!$G$200</definedName>
    <definedName name="Without_81_with_51_54_AMI_value">Calculation!$G$248</definedName>
    <definedName name="Without_81_with_51_54_Dementia_value" localSheetId="2">Calculation!$G$344</definedName>
    <definedName name="Without_81_with_51_54_stroke_value">Calculation!$G$296</definedName>
    <definedName name="Without_81_with_54_57_amenity_value">Calculation!$H$200</definedName>
    <definedName name="Without_81_with_54_57_AMI_value">Calculation!$H$248</definedName>
    <definedName name="Without_81_with_54_57_Dementia_value" localSheetId="2">Calculation!$H$344</definedName>
    <definedName name="Without_81_with_54_57_stroke_value">Calculation!$H$296</definedName>
    <definedName name="Without_81_with_57_60_amenity_value">Calculation!$I$200</definedName>
    <definedName name="Without_81_with_57_60_AMI_value">Calculation!$I$248</definedName>
    <definedName name="Without_81_with_57_60_Dementia_value" localSheetId="2">Calculation!$I$344</definedName>
    <definedName name="Without_81_with_57_60_stroke_value">Calculation!$I$296</definedName>
    <definedName name="Without_81_with_60_63_amenity_value">Calculation!$J$200</definedName>
    <definedName name="Without_81_with_60_63_AMI_value">Calculation!$J$248</definedName>
    <definedName name="Without_81_with_60_63_Dementia_value" localSheetId="2">Calculation!$J$344</definedName>
    <definedName name="Without_81_with_60_63_stroke_value">Calculation!$J$296</definedName>
    <definedName name="Without_81_with_63_66_amenity_value">Calculation!$K$200</definedName>
    <definedName name="Without_81_with_63_66_AMI_value">Calculation!$K$248</definedName>
    <definedName name="Without_81_with_63_66_Dementia_value" localSheetId="2">Calculation!$K$344</definedName>
    <definedName name="Without_81_with_63_66_stroke_value">Calculation!$K$296</definedName>
    <definedName name="Without_81_with_66_69_amenity_value">Calculation!$L$200</definedName>
    <definedName name="Without_81_with_66_69_AMI_value">Calculation!$L$248</definedName>
    <definedName name="Without_81_with_66_69_Dementia_value" localSheetId="2">Calculation!$L$344</definedName>
    <definedName name="Without_81_with_66_69_stroke_value">Calculation!$L$296</definedName>
    <definedName name="Without_81_with_69_72_amenity_value">Calculation!$M$200</definedName>
    <definedName name="Without_81_with_69_72_AMI_value">Calculation!$M$248</definedName>
    <definedName name="Without_81_with_69_72_Dementia_value" localSheetId="2">Calculation!$M$344</definedName>
    <definedName name="Without_81_with_69_72_stroke_value">Calculation!$M$296</definedName>
    <definedName name="Without_81_with_72_75_amenity_value">Calculation!$N$200</definedName>
    <definedName name="Without_81_with_72_75_AMI_value">Calculation!$N$248</definedName>
    <definedName name="Without_81_with_72_75_Dementia_value" localSheetId="2">Calculation!$N$344</definedName>
    <definedName name="Without_81_with_72_75_stroke_value">Calculation!$N$296</definedName>
    <definedName name="Without_81_with_75_78_amenity_value">Calculation!$O$200</definedName>
    <definedName name="Without_81_with_75_78_AMI_value">Calculation!$O$248</definedName>
    <definedName name="Without_81_with_75_78_Dementia_value" localSheetId="2">Calculation!$O$344</definedName>
    <definedName name="Without_81_with_75_78_stroke_value">Calculation!$O$296</definedName>
    <definedName name="Without_81_with_78_81_amenity_value">Calculation!$P$200</definedName>
    <definedName name="Without_81_with_78_81_AMI_value">Calculation!$P$248</definedName>
    <definedName name="Without_81_with_78_81_Dementia_value" localSheetId="2">Calculation!$P$344</definedName>
    <definedName name="Without_81_with_78_81_stroke_value">Calculation!$P$296</definedName>
    <definedName name="Without_81_with_81_amenity_value">Calculation!$Q$200</definedName>
    <definedName name="Without_81_with_81_AMI_value">Calculation!$Q$248</definedName>
    <definedName name="Without_81_with_81_Dementia_value" localSheetId="2">Calculation!$Q$344</definedName>
    <definedName name="Without_81_with_81_stroke_value">Calculation!$Q$296</definedName>
    <definedName name="Without_81_with_xx_amenity_value">Calculation!$D$200:$Q$200</definedName>
    <definedName name="Without_81_with_xx_AMI_value">Calculation!$D$248:$Q$248</definedName>
    <definedName name="Without_81_with_xx_composite_value">QA!$D$16:$Q$16</definedName>
    <definedName name="Without_81_with_xx_dementia_value">Calculation!$D$344:$Q$344</definedName>
    <definedName name="Without_81_with_xx_sleep_disturbance_value">Calculation!$D$152:$Q$152</definedName>
    <definedName name="Without_81_with_xx_stroke_value">Calculation!$D$296:$Q$296</definedName>
    <definedName name="Without_81_with_xx_value">Calculation!$D$90:$Q$90</definedName>
    <definedName name="year">Calculation!$D$570:$CP$570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2" l="1"/>
  <c r="E66" i="2"/>
  <c r="F66" i="2"/>
  <c r="G66" i="2"/>
  <c r="H66" i="2"/>
  <c r="I66" i="2"/>
  <c r="J66" i="2"/>
  <c r="K66" i="2"/>
  <c r="L66" i="2"/>
  <c r="M66" i="2"/>
  <c r="N66" i="2"/>
  <c r="O66" i="2"/>
  <c r="P66" i="2"/>
  <c r="Q66" i="2"/>
  <c r="D67" i="2"/>
  <c r="E67" i="2"/>
  <c r="F67" i="2"/>
  <c r="G67" i="2"/>
  <c r="H67" i="2"/>
  <c r="I67" i="2"/>
  <c r="J67" i="2"/>
  <c r="K67" i="2"/>
  <c r="L67" i="2"/>
  <c r="M67" i="2"/>
  <c r="N67" i="2"/>
  <c r="O67" i="2"/>
  <c r="P67" i="2"/>
  <c r="Q67" i="2"/>
  <c r="D68" i="2"/>
  <c r="E68" i="2"/>
  <c r="F68" i="2"/>
  <c r="G68" i="2"/>
  <c r="H68" i="2"/>
  <c r="I68" i="2"/>
  <c r="J68" i="2"/>
  <c r="K68" i="2"/>
  <c r="L68" i="2"/>
  <c r="M68" i="2"/>
  <c r="N68" i="2"/>
  <c r="O68" i="2"/>
  <c r="P68" i="2"/>
  <c r="Q68" i="2"/>
  <c r="D69" i="2"/>
  <c r="E69" i="2"/>
  <c r="F69" i="2"/>
  <c r="G69" i="2"/>
  <c r="H69" i="2"/>
  <c r="I69" i="2"/>
  <c r="J69" i="2"/>
  <c r="K69" i="2"/>
  <c r="L69" i="2"/>
  <c r="M69" i="2"/>
  <c r="N69" i="2"/>
  <c r="O69" i="2"/>
  <c r="P69" i="2"/>
  <c r="Q69" i="2"/>
  <c r="D70" i="2"/>
  <c r="E70" i="2"/>
  <c r="F70" i="2"/>
  <c r="G70" i="2"/>
  <c r="H70" i="2"/>
  <c r="I70" i="2"/>
  <c r="J70" i="2"/>
  <c r="K70" i="2"/>
  <c r="L70" i="2"/>
  <c r="M70" i="2"/>
  <c r="N70" i="2"/>
  <c r="O70" i="2"/>
  <c r="P70" i="2"/>
  <c r="Q70" i="2"/>
  <c r="D71" i="2"/>
  <c r="E71" i="2"/>
  <c r="F71" i="2"/>
  <c r="G71" i="2"/>
  <c r="H71" i="2"/>
  <c r="I71" i="2"/>
  <c r="J71" i="2"/>
  <c r="K71" i="2"/>
  <c r="L71" i="2"/>
  <c r="M71" i="2"/>
  <c r="N71" i="2"/>
  <c r="O71" i="2"/>
  <c r="P71" i="2"/>
  <c r="Q71" i="2"/>
  <c r="D72" i="2"/>
  <c r="E72" i="2"/>
  <c r="F72" i="2"/>
  <c r="G72" i="2"/>
  <c r="H72" i="2"/>
  <c r="I72" i="2"/>
  <c r="J72" i="2"/>
  <c r="K72" i="2"/>
  <c r="L72" i="2"/>
  <c r="M72" i="2"/>
  <c r="N72" i="2"/>
  <c r="O72" i="2"/>
  <c r="P72" i="2"/>
  <c r="Q72" i="2"/>
  <c r="D73" i="2"/>
  <c r="E73" i="2"/>
  <c r="F73" i="2"/>
  <c r="G73" i="2"/>
  <c r="H73" i="2"/>
  <c r="I73" i="2"/>
  <c r="J73" i="2"/>
  <c r="K73" i="2"/>
  <c r="L73" i="2"/>
  <c r="M73" i="2"/>
  <c r="N73" i="2"/>
  <c r="O73" i="2"/>
  <c r="P73" i="2"/>
  <c r="Q73" i="2"/>
  <c r="D74" i="2"/>
  <c r="E74" i="2"/>
  <c r="F74" i="2"/>
  <c r="G74" i="2"/>
  <c r="H74" i="2"/>
  <c r="I74" i="2"/>
  <c r="J74" i="2"/>
  <c r="K74" i="2"/>
  <c r="L74" i="2"/>
  <c r="M74" i="2"/>
  <c r="N74" i="2"/>
  <c r="O74" i="2"/>
  <c r="P74" i="2"/>
  <c r="Q74" i="2"/>
  <c r="D75" i="2"/>
  <c r="E75" i="2"/>
  <c r="F75" i="2"/>
  <c r="G75" i="2"/>
  <c r="H75" i="2"/>
  <c r="I75" i="2"/>
  <c r="J75" i="2"/>
  <c r="K75" i="2"/>
  <c r="L75" i="2"/>
  <c r="M75" i="2"/>
  <c r="N75" i="2"/>
  <c r="O75" i="2"/>
  <c r="P75" i="2"/>
  <c r="Q75" i="2"/>
  <c r="D76" i="2"/>
  <c r="E76" i="2"/>
  <c r="F76" i="2"/>
  <c r="G76" i="2"/>
  <c r="H76" i="2"/>
  <c r="I76" i="2"/>
  <c r="J76" i="2"/>
  <c r="K76" i="2"/>
  <c r="L76" i="2"/>
  <c r="M76" i="2"/>
  <c r="N76" i="2"/>
  <c r="O76" i="2"/>
  <c r="P76" i="2"/>
  <c r="Q76" i="2"/>
  <c r="D77" i="2"/>
  <c r="E77" i="2"/>
  <c r="F77" i="2"/>
  <c r="G77" i="2"/>
  <c r="H77" i="2"/>
  <c r="I77" i="2"/>
  <c r="J77" i="2"/>
  <c r="K77" i="2"/>
  <c r="L77" i="2"/>
  <c r="M77" i="2"/>
  <c r="N77" i="2"/>
  <c r="O77" i="2"/>
  <c r="P77" i="2"/>
  <c r="Q77" i="2"/>
  <c r="D78" i="2"/>
  <c r="E78" i="2"/>
  <c r="F78" i="2"/>
  <c r="G78" i="2"/>
  <c r="H78" i="2"/>
  <c r="I78" i="2"/>
  <c r="J78" i="2"/>
  <c r="K78" i="2"/>
  <c r="L78" i="2"/>
  <c r="M78" i="2"/>
  <c r="N78" i="2"/>
  <c r="O78" i="2"/>
  <c r="P78" i="2"/>
  <c r="Q78" i="2"/>
  <c r="E65" i="2"/>
  <c r="F65" i="2"/>
  <c r="G65" i="2"/>
  <c r="H65" i="2"/>
  <c r="I65" i="2"/>
  <c r="J65" i="2"/>
  <c r="K65" i="2"/>
  <c r="L65" i="2"/>
  <c r="M65" i="2"/>
  <c r="N65" i="2"/>
  <c r="O65" i="2"/>
  <c r="P65" i="2"/>
  <c r="Q65" i="2"/>
  <c r="D65" i="2"/>
  <c r="D45" i="2" l="1"/>
  <c r="E45" i="2"/>
  <c r="F45" i="2"/>
  <c r="G45" i="2"/>
  <c r="H45" i="2"/>
  <c r="I45" i="2"/>
  <c r="J45" i="2"/>
  <c r="K45" i="2"/>
  <c r="L45" i="2"/>
  <c r="M45" i="2"/>
  <c r="N45" i="2"/>
  <c r="O45" i="2"/>
  <c r="P45" i="2"/>
  <c r="Q45" i="2"/>
  <c r="D46" i="2"/>
  <c r="E46" i="2"/>
  <c r="F46" i="2"/>
  <c r="G46" i="2"/>
  <c r="H46" i="2"/>
  <c r="I46" i="2"/>
  <c r="J46" i="2"/>
  <c r="K46" i="2"/>
  <c r="L46" i="2"/>
  <c r="M46" i="2"/>
  <c r="N46" i="2"/>
  <c r="O46" i="2"/>
  <c r="P46" i="2"/>
  <c r="Q46" i="2"/>
  <c r="D47" i="2"/>
  <c r="E47" i="2"/>
  <c r="F47" i="2"/>
  <c r="G47" i="2"/>
  <c r="H47" i="2"/>
  <c r="I47" i="2"/>
  <c r="J47" i="2"/>
  <c r="K47" i="2"/>
  <c r="L47" i="2"/>
  <c r="M47" i="2"/>
  <c r="N47" i="2"/>
  <c r="O47" i="2"/>
  <c r="P47" i="2"/>
  <c r="Q47" i="2"/>
  <c r="D48" i="2"/>
  <c r="E48" i="2"/>
  <c r="F48" i="2"/>
  <c r="G48" i="2"/>
  <c r="H48" i="2"/>
  <c r="I48" i="2"/>
  <c r="J48" i="2"/>
  <c r="K48" i="2"/>
  <c r="L48" i="2"/>
  <c r="M48" i="2"/>
  <c r="N48" i="2"/>
  <c r="O48" i="2"/>
  <c r="P48" i="2"/>
  <c r="Q48" i="2"/>
  <c r="D49" i="2"/>
  <c r="E49" i="2"/>
  <c r="F49" i="2"/>
  <c r="G49" i="2"/>
  <c r="H49" i="2"/>
  <c r="I49" i="2"/>
  <c r="J49" i="2"/>
  <c r="K49" i="2"/>
  <c r="L49" i="2"/>
  <c r="M49" i="2"/>
  <c r="N49" i="2"/>
  <c r="O49" i="2"/>
  <c r="P49" i="2"/>
  <c r="Q49" i="2"/>
  <c r="D50" i="2"/>
  <c r="E50" i="2"/>
  <c r="F50" i="2"/>
  <c r="G50" i="2"/>
  <c r="H50" i="2"/>
  <c r="I50" i="2"/>
  <c r="J50" i="2"/>
  <c r="K50" i="2"/>
  <c r="L50" i="2"/>
  <c r="M50" i="2"/>
  <c r="N50" i="2"/>
  <c r="O50" i="2"/>
  <c r="P50" i="2"/>
  <c r="Q50" i="2"/>
  <c r="D51" i="2"/>
  <c r="E51" i="2"/>
  <c r="F51" i="2"/>
  <c r="G51" i="2"/>
  <c r="H51" i="2"/>
  <c r="I51" i="2"/>
  <c r="J51" i="2"/>
  <c r="K51" i="2"/>
  <c r="L51" i="2"/>
  <c r="M51" i="2"/>
  <c r="N51" i="2"/>
  <c r="O51" i="2"/>
  <c r="P51" i="2"/>
  <c r="Q51" i="2"/>
  <c r="D52" i="2"/>
  <c r="E52" i="2"/>
  <c r="F52" i="2"/>
  <c r="G52" i="2"/>
  <c r="H52" i="2"/>
  <c r="I52" i="2"/>
  <c r="J52" i="2"/>
  <c r="K52" i="2"/>
  <c r="L52" i="2"/>
  <c r="M52" i="2"/>
  <c r="N52" i="2"/>
  <c r="O52" i="2"/>
  <c r="P52" i="2"/>
  <c r="Q52" i="2"/>
  <c r="D53" i="2"/>
  <c r="E53" i="2"/>
  <c r="F53" i="2"/>
  <c r="G53" i="2"/>
  <c r="H53" i="2"/>
  <c r="I53" i="2"/>
  <c r="J53" i="2"/>
  <c r="K53" i="2"/>
  <c r="L53" i="2"/>
  <c r="M53" i="2"/>
  <c r="N53" i="2"/>
  <c r="O53" i="2"/>
  <c r="P53" i="2"/>
  <c r="Q53" i="2"/>
  <c r="D54" i="2"/>
  <c r="E54" i="2"/>
  <c r="F54" i="2"/>
  <c r="G54" i="2"/>
  <c r="H54" i="2"/>
  <c r="I54" i="2"/>
  <c r="J54" i="2"/>
  <c r="K54" i="2"/>
  <c r="L54" i="2"/>
  <c r="M54" i="2"/>
  <c r="N54" i="2"/>
  <c r="O54" i="2"/>
  <c r="P54" i="2"/>
  <c r="Q54" i="2"/>
  <c r="D55" i="2"/>
  <c r="E55" i="2"/>
  <c r="F55" i="2"/>
  <c r="G55" i="2"/>
  <c r="H55" i="2"/>
  <c r="I55" i="2"/>
  <c r="J55" i="2"/>
  <c r="K55" i="2"/>
  <c r="L55" i="2"/>
  <c r="M55" i="2"/>
  <c r="N55" i="2"/>
  <c r="O55" i="2"/>
  <c r="P55" i="2"/>
  <c r="Q55" i="2"/>
  <c r="D56" i="2"/>
  <c r="E56" i="2"/>
  <c r="F56" i="2"/>
  <c r="G56" i="2"/>
  <c r="H56" i="2"/>
  <c r="I56" i="2"/>
  <c r="J56" i="2"/>
  <c r="K56" i="2"/>
  <c r="L56" i="2"/>
  <c r="M56" i="2"/>
  <c r="N56" i="2"/>
  <c r="O56" i="2"/>
  <c r="P56" i="2"/>
  <c r="Q56" i="2"/>
  <c r="D57" i="2"/>
  <c r="E57" i="2"/>
  <c r="F57" i="2"/>
  <c r="G57" i="2"/>
  <c r="H57" i="2"/>
  <c r="I57" i="2"/>
  <c r="J57" i="2"/>
  <c r="K57" i="2"/>
  <c r="L57" i="2"/>
  <c r="M57" i="2"/>
  <c r="N57" i="2"/>
  <c r="O57" i="2"/>
  <c r="P57" i="2"/>
  <c r="Q57" i="2"/>
  <c r="E44" i="2"/>
  <c r="F44" i="2"/>
  <c r="G44" i="2"/>
  <c r="H44" i="2"/>
  <c r="I44" i="2"/>
  <c r="J44" i="2"/>
  <c r="K44" i="2"/>
  <c r="L44" i="2"/>
  <c r="M44" i="2"/>
  <c r="N44" i="2"/>
  <c r="O44" i="2"/>
  <c r="P44" i="2"/>
  <c r="Q44" i="2"/>
  <c r="D44" i="2"/>
  <c r="D28" i="2"/>
  <c r="E28" i="2"/>
  <c r="F28" i="2"/>
  <c r="G28" i="2"/>
  <c r="H28" i="2"/>
  <c r="I28" i="2"/>
  <c r="J28" i="2"/>
  <c r="K28" i="2"/>
  <c r="L28" i="2"/>
  <c r="M28" i="2"/>
  <c r="N28" i="2"/>
  <c r="O28" i="2"/>
  <c r="P28" i="2"/>
  <c r="Q28" i="2"/>
  <c r="D29" i="2"/>
  <c r="E29" i="2"/>
  <c r="F29" i="2"/>
  <c r="G29" i="2"/>
  <c r="H29" i="2"/>
  <c r="I29" i="2"/>
  <c r="J29" i="2"/>
  <c r="K29" i="2"/>
  <c r="L29" i="2"/>
  <c r="M29" i="2"/>
  <c r="N29" i="2"/>
  <c r="O29" i="2"/>
  <c r="P29" i="2"/>
  <c r="Q29" i="2"/>
  <c r="D30" i="2"/>
  <c r="E30" i="2"/>
  <c r="F30" i="2"/>
  <c r="G30" i="2"/>
  <c r="H30" i="2"/>
  <c r="I30" i="2"/>
  <c r="J30" i="2"/>
  <c r="K30" i="2"/>
  <c r="L30" i="2"/>
  <c r="M30" i="2"/>
  <c r="N30" i="2"/>
  <c r="O30" i="2"/>
  <c r="P30" i="2"/>
  <c r="Q30" i="2"/>
  <c r="D31" i="2"/>
  <c r="E31" i="2"/>
  <c r="F31" i="2"/>
  <c r="G31" i="2"/>
  <c r="H31" i="2"/>
  <c r="I31" i="2"/>
  <c r="J31" i="2"/>
  <c r="K31" i="2"/>
  <c r="L31" i="2"/>
  <c r="M31" i="2"/>
  <c r="N31" i="2"/>
  <c r="O31" i="2"/>
  <c r="P31" i="2"/>
  <c r="Q31" i="2"/>
  <c r="D32" i="2"/>
  <c r="E32" i="2"/>
  <c r="F32" i="2"/>
  <c r="G32" i="2"/>
  <c r="H32" i="2"/>
  <c r="I32" i="2"/>
  <c r="J32" i="2"/>
  <c r="K32" i="2"/>
  <c r="L32" i="2"/>
  <c r="M32" i="2"/>
  <c r="N32" i="2"/>
  <c r="O32" i="2"/>
  <c r="P32" i="2"/>
  <c r="Q32" i="2"/>
  <c r="D33" i="2"/>
  <c r="E33" i="2"/>
  <c r="F33" i="2"/>
  <c r="G33" i="2"/>
  <c r="H33" i="2"/>
  <c r="I33" i="2"/>
  <c r="J33" i="2"/>
  <c r="K33" i="2"/>
  <c r="L33" i="2"/>
  <c r="M33" i="2"/>
  <c r="N33" i="2"/>
  <c r="O33" i="2"/>
  <c r="P33" i="2"/>
  <c r="Q33" i="2"/>
  <c r="D34" i="2"/>
  <c r="E34" i="2"/>
  <c r="F34" i="2"/>
  <c r="G34" i="2"/>
  <c r="H34" i="2"/>
  <c r="I34" i="2"/>
  <c r="J34" i="2"/>
  <c r="K34" i="2"/>
  <c r="L34" i="2"/>
  <c r="M34" i="2"/>
  <c r="N34" i="2"/>
  <c r="O34" i="2"/>
  <c r="P34" i="2"/>
  <c r="Q34" i="2"/>
  <c r="D35" i="2"/>
  <c r="E35" i="2"/>
  <c r="F35" i="2"/>
  <c r="G35" i="2"/>
  <c r="H35" i="2"/>
  <c r="I35" i="2"/>
  <c r="J35" i="2"/>
  <c r="K35" i="2"/>
  <c r="L35" i="2"/>
  <c r="M35" i="2"/>
  <c r="N35" i="2"/>
  <c r="O35" i="2"/>
  <c r="P35" i="2"/>
  <c r="Q35" i="2"/>
  <c r="D36" i="2"/>
  <c r="E36" i="2"/>
  <c r="F36" i="2"/>
  <c r="G36" i="2"/>
  <c r="H36" i="2"/>
  <c r="I36" i="2"/>
  <c r="J36" i="2"/>
  <c r="K36" i="2"/>
  <c r="L36" i="2"/>
  <c r="M36" i="2"/>
  <c r="N36" i="2"/>
  <c r="O36" i="2"/>
  <c r="P36" i="2"/>
  <c r="Q36" i="2"/>
  <c r="D37" i="2"/>
  <c r="E37" i="2"/>
  <c r="F37" i="2"/>
  <c r="G37" i="2"/>
  <c r="H37" i="2"/>
  <c r="I37" i="2"/>
  <c r="J37" i="2"/>
  <c r="K37" i="2"/>
  <c r="L37" i="2"/>
  <c r="M37" i="2"/>
  <c r="N37" i="2"/>
  <c r="O37" i="2"/>
  <c r="P37" i="2"/>
  <c r="Q37" i="2"/>
  <c r="D38" i="2"/>
  <c r="E38" i="2"/>
  <c r="F38" i="2"/>
  <c r="G38" i="2"/>
  <c r="H38" i="2"/>
  <c r="I38" i="2"/>
  <c r="J38" i="2"/>
  <c r="K38" i="2"/>
  <c r="L38" i="2"/>
  <c r="M38" i="2"/>
  <c r="N38" i="2"/>
  <c r="O38" i="2"/>
  <c r="P38" i="2"/>
  <c r="Q38" i="2"/>
  <c r="D39" i="2"/>
  <c r="E39" i="2"/>
  <c r="F39" i="2"/>
  <c r="G39" i="2"/>
  <c r="H39" i="2"/>
  <c r="I39" i="2"/>
  <c r="J39" i="2"/>
  <c r="K39" i="2"/>
  <c r="L39" i="2"/>
  <c r="M39" i="2"/>
  <c r="N39" i="2"/>
  <c r="O39" i="2"/>
  <c r="P39" i="2"/>
  <c r="Q39" i="2"/>
  <c r="D40" i="2"/>
  <c r="E40" i="2"/>
  <c r="F40" i="2"/>
  <c r="G40" i="2"/>
  <c r="H40" i="2"/>
  <c r="I40" i="2"/>
  <c r="J40" i="2"/>
  <c r="K40" i="2"/>
  <c r="L40" i="2"/>
  <c r="M40" i="2"/>
  <c r="N40" i="2"/>
  <c r="O40" i="2"/>
  <c r="P40" i="2"/>
  <c r="Q40" i="2"/>
  <c r="E27" i="2"/>
  <c r="F27" i="2"/>
  <c r="G27" i="2"/>
  <c r="H27" i="2"/>
  <c r="I27" i="2"/>
  <c r="J27" i="2"/>
  <c r="K27" i="2"/>
  <c r="L27" i="2"/>
  <c r="M27" i="2"/>
  <c r="N27" i="2"/>
  <c r="O27" i="2"/>
  <c r="P27" i="2"/>
  <c r="Q27" i="2"/>
  <c r="D27" i="2"/>
  <c r="D11" i="2"/>
  <c r="E11" i="2"/>
  <c r="F11" i="2"/>
  <c r="G11" i="2"/>
  <c r="H11" i="2"/>
  <c r="I11" i="2"/>
  <c r="J11" i="2"/>
  <c r="K11" i="2"/>
  <c r="L11" i="2"/>
  <c r="M11" i="2"/>
  <c r="N11" i="2"/>
  <c r="O11" i="2"/>
  <c r="P11" i="2"/>
  <c r="Q11" i="2"/>
  <c r="D12" i="2"/>
  <c r="E12" i="2"/>
  <c r="F12" i="2"/>
  <c r="G12" i="2"/>
  <c r="H12" i="2"/>
  <c r="I12" i="2"/>
  <c r="J12" i="2"/>
  <c r="K12" i="2"/>
  <c r="L12" i="2"/>
  <c r="M12" i="2"/>
  <c r="N12" i="2"/>
  <c r="O12" i="2"/>
  <c r="P12" i="2"/>
  <c r="Q12" i="2"/>
  <c r="D13" i="2"/>
  <c r="E13" i="2"/>
  <c r="F13" i="2"/>
  <c r="G13" i="2"/>
  <c r="H13" i="2"/>
  <c r="I13" i="2"/>
  <c r="J13" i="2"/>
  <c r="K13" i="2"/>
  <c r="L13" i="2"/>
  <c r="M13" i="2"/>
  <c r="N13" i="2"/>
  <c r="O13" i="2"/>
  <c r="P13" i="2"/>
  <c r="Q13" i="2"/>
  <c r="D14" i="2"/>
  <c r="E14" i="2"/>
  <c r="F14" i="2"/>
  <c r="G14" i="2"/>
  <c r="H14" i="2"/>
  <c r="I14" i="2"/>
  <c r="J14" i="2"/>
  <c r="K14" i="2"/>
  <c r="L14" i="2"/>
  <c r="M14" i="2"/>
  <c r="N14" i="2"/>
  <c r="O14" i="2"/>
  <c r="P14" i="2"/>
  <c r="Q14" i="2"/>
  <c r="D15" i="2"/>
  <c r="E15" i="2"/>
  <c r="F15" i="2"/>
  <c r="G15" i="2"/>
  <c r="H15" i="2"/>
  <c r="I15" i="2"/>
  <c r="J15" i="2"/>
  <c r="K15" i="2"/>
  <c r="L15" i="2"/>
  <c r="M15" i="2"/>
  <c r="N15" i="2"/>
  <c r="O15" i="2"/>
  <c r="P15" i="2"/>
  <c r="Q15" i="2"/>
  <c r="D16" i="2"/>
  <c r="E16" i="2"/>
  <c r="F16" i="2"/>
  <c r="G16" i="2"/>
  <c r="H16" i="2"/>
  <c r="I16" i="2"/>
  <c r="J16" i="2"/>
  <c r="K16" i="2"/>
  <c r="L16" i="2"/>
  <c r="M16" i="2"/>
  <c r="N16" i="2"/>
  <c r="O16" i="2"/>
  <c r="P16" i="2"/>
  <c r="Q16" i="2"/>
  <c r="D17" i="2"/>
  <c r="E17" i="2"/>
  <c r="F17" i="2"/>
  <c r="G17" i="2"/>
  <c r="H17" i="2"/>
  <c r="I17" i="2"/>
  <c r="J17" i="2"/>
  <c r="K17" i="2"/>
  <c r="L17" i="2"/>
  <c r="M17" i="2"/>
  <c r="N17" i="2"/>
  <c r="O17" i="2"/>
  <c r="P17" i="2"/>
  <c r="Q17" i="2"/>
  <c r="D18" i="2"/>
  <c r="E18" i="2"/>
  <c r="F18" i="2"/>
  <c r="G18" i="2"/>
  <c r="H18" i="2"/>
  <c r="I18" i="2"/>
  <c r="J18" i="2"/>
  <c r="K18" i="2"/>
  <c r="L18" i="2"/>
  <c r="M18" i="2"/>
  <c r="N18" i="2"/>
  <c r="O18" i="2"/>
  <c r="P18" i="2"/>
  <c r="Q18" i="2"/>
  <c r="D19" i="2"/>
  <c r="E19" i="2"/>
  <c r="F19" i="2"/>
  <c r="G19" i="2"/>
  <c r="H19" i="2"/>
  <c r="I19" i="2"/>
  <c r="J19" i="2"/>
  <c r="K19" i="2"/>
  <c r="L19" i="2"/>
  <c r="M19" i="2"/>
  <c r="N19" i="2"/>
  <c r="O19" i="2"/>
  <c r="P19" i="2"/>
  <c r="Q19" i="2"/>
  <c r="D20" i="2"/>
  <c r="E20" i="2"/>
  <c r="F20" i="2"/>
  <c r="G20" i="2"/>
  <c r="H20" i="2"/>
  <c r="I20" i="2"/>
  <c r="J20" i="2"/>
  <c r="K20" i="2"/>
  <c r="L20" i="2"/>
  <c r="M20" i="2"/>
  <c r="N20" i="2"/>
  <c r="O20" i="2"/>
  <c r="P20" i="2"/>
  <c r="Q20" i="2"/>
  <c r="D21" i="2"/>
  <c r="E21" i="2"/>
  <c r="F21" i="2"/>
  <c r="G21" i="2"/>
  <c r="H21" i="2"/>
  <c r="I21" i="2"/>
  <c r="J21" i="2"/>
  <c r="K21" i="2"/>
  <c r="L21" i="2"/>
  <c r="M21" i="2"/>
  <c r="N21" i="2"/>
  <c r="O21" i="2"/>
  <c r="P21" i="2"/>
  <c r="Q21" i="2"/>
  <c r="D22" i="2"/>
  <c r="E22" i="2"/>
  <c r="F22" i="2"/>
  <c r="G22" i="2"/>
  <c r="H22" i="2"/>
  <c r="I22" i="2"/>
  <c r="J22" i="2"/>
  <c r="K22" i="2"/>
  <c r="L22" i="2"/>
  <c r="M22" i="2"/>
  <c r="N22" i="2"/>
  <c r="O22" i="2"/>
  <c r="P22" i="2"/>
  <c r="Q22" i="2"/>
  <c r="D23" i="2"/>
  <c r="E23" i="2"/>
  <c r="F23" i="2"/>
  <c r="G23" i="2"/>
  <c r="H23" i="2"/>
  <c r="I23" i="2"/>
  <c r="J23" i="2"/>
  <c r="K23" i="2"/>
  <c r="L23" i="2"/>
  <c r="M23" i="2"/>
  <c r="N23" i="2"/>
  <c r="O23" i="2"/>
  <c r="P23" i="2"/>
  <c r="Q23" i="2"/>
  <c r="E10" i="2"/>
  <c r="F10" i="2"/>
  <c r="G10" i="2"/>
  <c r="H10" i="2"/>
  <c r="I10" i="2"/>
  <c r="J10" i="2"/>
  <c r="K10" i="2"/>
  <c r="L10" i="2"/>
  <c r="M10" i="2"/>
  <c r="N10" i="2"/>
  <c r="O10" i="2"/>
  <c r="P10" i="2"/>
  <c r="Q10" i="2"/>
  <c r="D10" i="2"/>
  <c r="V45" i="2" l="1"/>
  <c r="V44" i="2"/>
  <c r="E4" i="11" l="1"/>
  <c r="F5" i="11"/>
  <c r="G6" i="11"/>
  <c r="H7" i="11"/>
  <c r="I8" i="11"/>
  <c r="J9" i="11"/>
  <c r="K10" i="11"/>
  <c r="L11" i="11"/>
  <c r="M12" i="11"/>
  <c r="N13" i="11"/>
  <c r="O14" i="11"/>
  <c r="P15" i="11"/>
  <c r="Q16" i="11"/>
  <c r="D3" i="11"/>
  <c r="AQ304" i="2" l="1"/>
  <c r="AP304" i="2"/>
  <c r="AO304" i="2"/>
  <c r="AN304" i="2"/>
  <c r="AM304" i="2"/>
  <c r="AL304" i="2"/>
  <c r="AK304" i="2"/>
  <c r="AJ304" i="2"/>
  <c r="AI304" i="2"/>
  <c r="AH304" i="2"/>
  <c r="AG304" i="2"/>
  <c r="AF304" i="2"/>
  <c r="AE304" i="2"/>
  <c r="AD304" i="2"/>
  <c r="AC304" i="2"/>
  <c r="AB304" i="2"/>
  <c r="AA304" i="2"/>
  <c r="Z304" i="2"/>
  <c r="Y304" i="2"/>
  <c r="X304" i="2"/>
  <c r="W304" i="2"/>
  <c r="V304" i="2"/>
  <c r="U304" i="2"/>
  <c r="T304" i="2"/>
  <c r="S304" i="2"/>
  <c r="R304" i="2"/>
  <c r="Q304" i="2"/>
  <c r="P304" i="2"/>
  <c r="O304" i="2"/>
  <c r="N304" i="2"/>
  <c r="M304" i="2"/>
  <c r="L304" i="2"/>
  <c r="K304" i="2"/>
  <c r="J304" i="2"/>
  <c r="I304" i="2"/>
  <c r="H304" i="2"/>
  <c r="G304" i="2"/>
  <c r="F304" i="2"/>
  <c r="E304" i="2"/>
  <c r="D304" i="2"/>
  <c r="AQ303" i="2"/>
  <c r="AP303" i="2"/>
  <c r="AO303" i="2"/>
  <c r="AN303" i="2"/>
  <c r="AM303" i="2"/>
  <c r="AL303" i="2"/>
  <c r="AK303" i="2"/>
  <c r="AJ303" i="2"/>
  <c r="AI303" i="2"/>
  <c r="AH303" i="2"/>
  <c r="AG303" i="2"/>
  <c r="AF303" i="2"/>
  <c r="AE303" i="2"/>
  <c r="AD303" i="2"/>
  <c r="AC303" i="2"/>
  <c r="AB303" i="2"/>
  <c r="AA303" i="2"/>
  <c r="Z303" i="2"/>
  <c r="Y303" i="2"/>
  <c r="X303" i="2"/>
  <c r="W303" i="2"/>
  <c r="V303" i="2"/>
  <c r="U303" i="2"/>
  <c r="T303" i="2"/>
  <c r="S303" i="2"/>
  <c r="R303" i="2"/>
  <c r="Q303" i="2"/>
  <c r="P303" i="2"/>
  <c r="O303" i="2"/>
  <c r="N303" i="2"/>
  <c r="M303" i="2"/>
  <c r="L303" i="2"/>
  <c r="K303" i="2"/>
  <c r="J303" i="2"/>
  <c r="I303" i="2"/>
  <c r="H303" i="2"/>
  <c r="G303" i="2"/>
  <c r="F303" i="2"/>
  <c r="E303" i="2"/>
  <c r="D303" i="2"/>
  <c r="AQ302" i="2"/>
  <c r="AP302" i="2"/>
  <c r="AO302" i="2"/>
  <c r="AN302" i="2"/>
  <c r="AM302" i="2"/>
  <c r="AL302" i="2"/>
  <c r="AK302" i="2"/>
  <c r="AJ302" i="2"/>
  <c r="AI302" i="2"/>
  <c r="AH302" i="2"/>
  <c r="AG302" i="2"/>
  <c r="AF302" i="2"/>
  <c r="AE302" i="2"/>
  <c r="AD302" i="2"/>
  <c r="AC302" i="2"/>
  <c r="AB302" i="2"/>
  <c r="AA302" i="2"/>
  <c r="Z302" i="2"/>
  <c r="Y302" i="2"/>
  <c r="X302" i="2"/>
  <c r="W302" i="2"/>
  <c r="V302" i="2"/>
  <c r="U302" i="2"/>
  <c r="T302" i="2"/>
  <c r="S302" i="2"/>
  <c r="R302" i="2"/>
  <c r="Q302" i="2"/>
  <c r="P302" i="2"/>
  <c r="O302" i="2"/>
  <c r="N302" i="2"/>
  <c r="M302" i="2"/>
  <c r="L302" i="2"/>
  <c r="K302" i="2"/>
  <c r="J302" i="2"/>
  <c r="I302" i="2"/>
  <c r="H302" i="2"/>
  <c r="G302" i="2"/>
  <c r="F302" i="2"/>
  <c r="E302" i="2"/>
  <c r="D302" i="2"/>
  <c r="E637" i="2"/>
  <c r="F637" i="2"/>
  <c r="G637" i="2"/>
  <c r="H637" i="2"/>
  <c r="I637" i="2"/>
  <c r="J637" i="2"/>
  <c r="K637" i="2"/>
  <c r="L637" i="2"/>
  <c r="M637" i="2"/>
  <c r="N637" i="2"/>
  <c r="O637" i="2"/>
  <c r="P637" i="2"/>
  <c r="Q637" i="2"/>
  <c r="R637" i="2"/>
  <c r="S637" i="2"/>
  <c r="T637" i="2"/>
  <c r="U637" i="2"/>
  <c r="V637" i="2"/>
  <c r="W637" i="2"/>
  <c r="X637" i="2"/>
  <c r="Y637" i="2"/>
  <c r="Z637" i="2"/>
  <c r="AA637" i="2"/>
  <c r="AB637" i="2"/>
  <c r="AC637" i="2"/>
  <c r="AD637" i="2"/>
  <c r="AE637" i="2"/>
  <c r="AF637" i="2"/>
  <c r="AG637" i="2"/>
  <c r="AH637" i="2"/>
  <c r="AI637" i="2"/>
  <c r="AJ637" i="2"/>
  <c r="AK637" i="2"/>
  <c r="AL637" i="2"/>
  <c r="AM637" i="2"/>
  <c r="AN637" i="2"/>
  <c r="AO637" i="2"/>
  <c r="AP637" i="2"/>
  <c r="AQ637" i="2"/>
  <c r="AR637" i="2"/>
  <c r="AS637" i="2"/>
  <c r="AT637" i="2"/>
  <c r="AU637" i="2"/>
  <c r="AV637" i="2"/>
  <c r="AW637" i="2"/>
  <c r="AX637" i="2"/>
  <c r="AY637" i="2"/>
  <c r="AZ637" i="2"/>
  <c r="BA637" i="2"/>
  <c r="BB637" i="2"/>
  <c r="BC637" i="2"/>
  <c r="BD637" i="2"/>
  <c r="BE637" i="2"/>
  <c r="BF637" i="2"/>
  <c r="BG637" i="2"/>
  <c r="BH637" i="2"/>
  <c r="BI637" i="2"/>
  <c r="BJ637" i="2"/>
  <c r="BK637" i="2"/>
  <c r="BL637" i="2"/>
  <c r="BM637" i="2"/>
  <c r="BN637" i="2"/>
  <c r="BO637" i="2"/>
  <c r="BP637" i="2"/>
  <c r="BQ637" i="2"/>
  <c r="BR637" i="2"/>
  <c r="BS637" i="2"/>
  <c r="BT637" i="2"/>
  <c r="BU637" i="2"/>
  <c r="BV637" i="2"/>
  <c r="BW637" i="2"/>
  <c r="BX637" i="2"/>
  <c r="BY637" i="2"/>
  <c r="BZ637" i="2"/>
  <c r="CA637" i="2"/>
  <c r="CB637" i="2"/>
  <c r="CC637" i="2"/>
  <c r="CD637" i="2"/>
  <c r="CE637" i="2"/>
  <c r="CF637" i="2"/>
  <c r="CG637" i="2"/>
  <c r="CH637" i="2"/>
  <c r="CI637" i="2"/>
  <c r="CJ637" i="2"/>
  <c r="CK637" i="2"/>
  <c r="CL637" i="2"/>
  <c r="CM637" i="2"/>
  <c r="CN637" i="2"/>
  <c r="CO637" i="2"/>
  <c r="CP637" i="2"/>
  <c r="E638" i="2"/>
  <c r="F638" i="2"/>
  <c r="G638" i="2"/>
  <c r="H638" i="2"/>
  <c r="I638" i="2"/>
  <c r="J638" i="2"/>
  <c r="K638" i="2"/>
  <c r="L638" i="2"/>
  <c r="M638" i="2"/>
  <c r="N638" i="2"/>
  <c r="O638" i="2"/>
  <c r="P638" i="2"/>
  <c r="Q638" i="2"/>
  <c r="R638" i="2"/>
  <c r="S638" i="2"/>
  <c r="T638" i="2"/>
  <c r="U638" i="2"/>
  <c r="V638" i="2"/>
  <c r="W638" i="2"/>
  <c r="X638" i="2"/>
  <c r="Y638" i="2"/>
  <c r="Z638" i="2"/>
  <c r="AA638" i="2"/>
  <c r="AB638" i="2"/>
  <c r="AC638" i="2"/>
  <c r="AD638" i="2"/>
  <c r="AE638" i="2"/>
  <c r="AF638" i="2"/>
  <c r="AG638" i="2"/>
  <c r="AH638" i="2"/>
  <c r="AI638" i="2"/>
  <c r="AJ638" i="2"/>
  <c r="AK638" i="2"/>
  <c r="AL638" i="2"/>
  <c r="AM638" i="2"/>
  <c r="AN638" i="2"/>
  <c r="AO638" i="2"/>
  <c r="AP638" i="2"/>
  <c r="AQ638" i="2"/>
  <c r="AR638" i="2"/>
  <c r="AS638" i="2"/>
  <c r="AT638" i="2"/>
  <c r="AU638" i="2"/>
  <c r="AV638" i="2"/>
  <c r="AW638" i="2"/>
  <c r="AX638" i="2"/>
  <c r="AY638" i="2"/>
  <c r="AZ638" i="2"/>
  <c r="BA638" i="2"/>
  <c r="BB638" i="2"/>
  <c r="BC638" i="2"/>
  <c r="BD638" i="2"/>
  <c r="BE638" i="2"/>
  <c r="BF638" i="2"/>
  <c r="BG638" i="2"/>
  <c r="BH638" i="2"/>
  <c r="BI638" i="2"/>
  <c r="BJ638" i="2"/>
  <c r="BK638" i="2"/>
  <c r="BL638" i="2"/>
  <c r="BM638" i="2"/>
  <c r="BN638" i="2"/>
  <c r="BO638" i="2"/>
  <c r="BP638" i="2"/>
  <c r="BQ638" i="2"/>
  <c r="BR638" i="2"/>
  <c r="BS638" i="2"/>
  <c r="BT638" i="2"/>
  <c r="BU638" i="2"/>
  <c r="BV638" i="2"/>
  <c r="BW638" i="2"/>
  <c r="BX638" i="2"/>
  <c r="BY638" i="2"/>
  <c r="BZ638" i="2"/>
  <c r="CA638" i="2"/>
  <c r="CB638" i="2"/>
  <c r="CC638" i="2"/>
  <c r="CD638" i="2"/>
  <c r="CE638" i="2"/>
  <c r="CF638" i="2"/>
  <c r="CG638" i="2"/>
  <c r="CH638" i="2"/>
  <c r="CI638" i="2"/>
  <c r="CJ638" i="2"/>
  <c r="CK638" i="2"/>
  <c r="CL638" i="2"/>
  <c r="CM638" i="2"/>
  <c r="CN638" i="2"/>
  <c r="CO638" i="2"/>
  <c r="CP638" i="2"/>
  <c r="D638" i="2"/>
  <c r="D637"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C100" i="2"/>
  <c r="C95" i="2"/>
  <c r="C97" i="2" s="1"/>
  <c r="C98" i="2" l="1"/>
  <c r="D4" i="8"/>
  <c r="I664" i="2" l="1"/>
  <c r="E664" i="2" l="1"/>
  <c r="F664" i="2"/>
  <c r="G664" i="2"/>
  <c r="H664" i="2"/>
  <c r="J664" i="2"/>
  <c r="K664" i="2"/>
  <c r="L664" i="2"/>
  <c r="M664" i="2"/>
  <c r="N664" i="2"/>
  <c r="O664" i="2"/>
  <c r="P664" i="2"/>
  <c r="Q664" i="2"/>
  <c r="R664" i="2"/>
  <c r="S664" i="2"/>
  <c r="T664" i="2"/>
  <c r="U664" i="2"/>
  <c r="V664" i="2"/>
  <c r="W664" i="2"/>
  <c r="X664" i="2"/>
  <c r="Y664" i="2"/>
  <c r="Z664" i="2"/>
  <c r="AA664" i="2"/>
  <c r="AB664" i="2"/>
  <c r="AC664" i="2"/>
  <c r="AD664" i="2"/>
  <c r="AE664" i="2"/>
  <c r="AF664" i="2"/>
  <c r="AG664" i="2"/>
  <c r="AH664" i="2"/>
  <c r="AI664" i="2"/>
  <c r="AJ664" i="2"/>
  <c r="AK664" i="2"/>
  <c r="AL664" i="2"/>
  <c r="AM664" i="2"/>
  <c r="AN664" i="2"/>
  <c r="AO664" i="2"/>
  <c r="AP664" i="2"/>
  <c r="AQ664" i="2"/>
  <c r="AR664" i="2"/>
  <c r="AS664" i="2"/>
  <c r="AT664" i="2"/>
  <c r="AU664" i="2"/>
  <c r="AV664" i="2"/>
  <c r="AW664" i="2"/>
  <c r="AX664" i="2"/>
  <c r="AY664" i="2"/>
  <c r="AZ664" i="2"/>
  <c r="BA664" i="2"/>
  <c r="BB664" i="2"/>
  <c r="BC664" i="2"/>
  <c r="BD664" i="2"/>
  <c r="BE664" i="2"/>
  <c r="BF664" i="2"/>
  <c r="BG664" i="2"/>
  <c r="BH664" i="2"/>
  <c r="BI664" i="2"/>
  <c r="BJ664" i="2"/>
  <c r="BK664" i="2"/>
  <c r="BL664" i="2"/>
  <c r="BM664" i="2"/>
  <c r="BN664" i="2"/>
  <c r="BO664" i="2"/>
  <c r="BP664" i="2"/>
  <c r="BQ664" i="2"/>
  <c r="BR664" i="2"/>
  <c r="BS664" i="2"/>
  <c r="BT664" i="2"/>
  <c r="BU664" i="2"/>
  <c r="BV664" i="2"/>
  <c r="BW664" i="2"/>
  <c r="BX664" i="2"/>
  <c r="BY664" i="2"/>
  <c r="BZ664" i="2"/>
  <c r="CA664" i="2"/>
  <c r="CB664" i="2"/>
  <c r="CC664" i="2"/>
  <c r="CD664" i="2"/>
  <c r="CE664" i="2"/>
  <c r="CF664" i="2"/>
  <c r="CG664" i="2"/>
  <c r="CH664" i="2"/>
  <c r="CI664" i="2"/>
  <c r="CJ664" i="2"/>
  <c r="CK664" i="2"/>
  <c r="CL664" i="2"/>
  <c r="CM664" i="2"/>
  <c r="CN664" i="2"/>
  <c r="CO664" i="2"/>
  <c r="CP664" i="2"/>
  <c r="D664" i="2"/>
  <c r="C662" i="2"/>
  <c r="H665" i="2" l="1"/>
  <c r="I665" i="2"/>
  <c r="D665" i="2"/>
  <c r="BT665" i="2"/>
  <c r="AZ665" i="2"/>
  <c r="AF665" i="2"/>
  <c r="CF665" i="2"/>
  <c r="BP665" i="2"/>
  <c r="X665" i="2"/>
  <c r="CO665" i="2"/>
  <c r="CK665" i="2"/>
  <c r="CG665" i="2"/>
  <c r="CC665" i="2"/>
  <c r="BY665" i="2"/>
  <c r="BU665" i="2"/>
  <c r="BQ665" i="2"/>
  <c r="BM665" i="2"/>
  <c r="BI665" i="2"/>
  <c r="BE665" i="2"/>
  <c r="BA665" i="2"/>
  <c r="AW665" i="2"/>
  <c r="AS665" i="2"/>
  <c r="AO665" i="2"/>
  <c r="AK665" i="2"/>
  <c r="AG665" i="2"/>
  <c r="AC665" i="2"/>
  <c r="Y665" i="2"/>
  <c r="U665" i="2"/>
  <c r="Q665" i="2"/>
  <c r="M665" i="2"/>
  <c r="E665" i="2"/>
  <c r="CJ665" i="2"/>
  <c r="CB665" i="2"/>
  <c r="BL665" i="2"/>
  <c r="BD665" i="2"/>
  <c r="AV665" i="2"/>
  <c r="AN665" i="2"/>
  <c r="AJ665" i="2"/>
  <c r="T665" i="2"/>
  <c r="P665" i="2"/>
  <c r="AB665" i="2"/>
  <c r="L665" i="2"/>
  <c r="CM665" i="2"/>
  <c r="BW665" i="2"/>
  <c r="BK665" i="2"/>
  <c r="BG665" i="2"/>
  <c r="BC665" i="2"/>
  <c r="AY665" i="2"/>
  <c r="AU665" i="2"/>
  <c r="AQ665" i="2"/>
  <c r="AM665" i="2"/>
  <c r="AI665" i="2"/>
  <c r="AE665" i="2"/>
  <c r="AA665" i="2"/>
  <c r="W665" i="2"/>
  <c r="S665" i="2"/>
  <c r="O665" i="2"/>
  <c r="K665" i="2"/>
  <c r="G665" i="2"/>
  <c r="CN665" i="2"/>
  <c r="BX665" i="2"/>
  <c r="BH665" i="2"/>
  <c r="AR665" i="2"/>
  <c r="CI665" i="2"/>
  <c r="CE665" i="2"/>
  <c r="CA665" i="2"/>
  <c r="BS665" i="2"/>
  <c r="BO665" i="2"/>
  <c r="CP665" i="2"/>
  <c r="CL665" i="2"/>
  <c r="CH665" i="2"/>
  <c r="CD665" i="2"/>
  <c r="BZ665" i="2"/>
  <c r="BV665" i="2"/>
  <c r="BR665" i="2"/>
  <c r="BN665" i="2"/>
  <c r="BJ665" i="2"/>
  <c r="BF665" i="2"/>
  <c r="BB665" i="2"/>
  <c r="AX665" i="2"/>
  <c r="AT665" i="2"/>
  <c r="AP665" i="2"/>
  <c r="AL665" i="2"/>
  <c r="AH665" i="2"/>
  <c r="AD665" i="2"/>
  <c r="Z665" i="2"/>
  <c r="V665" i="2"/>
  <c r="R665" i="2"/>
  <c r="N665" i="2"/>
  <c r="J665" i="2"/>
  <c r="F665" i="2"/>
  <c r="E12" i="8"/>
  <c r="C643" i="2"/>
  <c r="C640" i="2"/>
  <c r="C641" i="2" s="1"/>
  <c r="AQ208" i="2" l="1"/>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S207" i="2"/>
  <c r="R207" i="2"/>
  <c r="Q207" i="2"/>
  <c r="P207" i="2"/>
  <c r="O207" i="2"/>
  <c r="N207" i="2"/>
  <c r="M207" i="2"/>
  <c r="L207" i="2"/>
  <c r="K207" i="2"/>
  <c r="J207" i="2"/>
  <c r="I207" i="2"/>
  <c r="H207" i="2"/>
  <c r="G207" i="2"/>
  <c r="F207" i="2"/>
  <c r="E207" i="2"/>
  <c r="D207" i="2"/>
  <c r="AQ206" i="2"/>
  <c r="AP206" i="2"/>
  <c r="AO206" i="2"/>
  <c r="AN206" i="2"/>
  <c r="AM206" i="2"/>
  <c r="AL206" i="2"/>
  <c r="AK206" i="2"/>
  <c r="AJ206" i="2"/>
  <c r="AI206" i="2"/>
  <c r="AH206" i="2"/>
  <c r="AG206" i="2"/>
  <c r="AF206" i="2"/>
  <c r="AE206" i="2"/>
  <c r="AD206" i="2"/>
  <c r="AC206" i="2"/>
  <c r="AB206" i="2"/>
  <c r="AA206" i="2"/>
  <c r="Z206" i="2"/>
  <c r="Y206" i="2"/>
  <c r="X206" i="2"/>
  <c r="W206" i="2"/>
  <c r="V206" i="2"/>
  <c r="U206" i="2"/>
  <c r="T206" i="2"/>
  <c r="S206" i="2"/>
  <c r="R206" i="2"/>
  <c r="Q206" i="2"/>
  <c r="P206" i="2"/>
  <c r="O206" i="2"/>
  <c r="N206" i="2"/>
  <c r="M206" i="2"/>
  <c r="L206" i="2"/>
  <c r="K206" i="2"/>
  <c r="J206" i="2"/>
  <c r="I206" i="2"/>
  <c r="H206" i="2"/>
  <c r="G206" i="2"/>
  <c r="F206" i="2"/>
  <c r="E206" i="2"/>
  <c r="D206"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AQ255" i="2"/>
  <c r="AP255" i="2"/>
  <c r="AO255" i="2"/>
  <c r="AN255" i="2"/>
  <c r="AM255" i="2"/>
  <c r="AL255" i="2"/>
  <c r="AK255" i="2"/>
  <c r="AJ255" i="2"/>
  <c r="AI255" i="2"/>
  <c r="AH255" i="2"/>
  <c r="AG255" i="2"/>
  <c r="AF255" i="2"/>
  <c r="AE255" i="2"/>
  <c r="AD255" i="2"/>
  <c r="AC255" i="2"/>
  <c r="AB255" i="2"/>
  <c r="AA255" i="2"/>
  <c r="Z255" i="2"/>
  <c r="Y255" i="2"/>
  <c r="X255" i="2"/>
  <c r="W255" i="2"/>
  <c r="V255" i="2"/>
  <c r="U255" i="2"/>
  <c r="T255" i="2"/>
  <c r="S255" i="2"/>
  <c r="R255" i="2"/>
  <c r="Q255" i="2"/>
  <c r="P255" i="2"/>
  <c r="O255" i="2"/>
  <c r="N255" i="2"/>
  <c r="M255" i="2"/>
  <c r="L255" i="2"/>
  <c r="K255" i="2"/>
  <c r="J255" i="2"/>
  <c r="I255" i="2"/>
  <c r="H255" i="2"/>
  <c r="G255" i="2"/>
  <c r="F255" i="2"/>
  <c r="E255" i="2"/>
  <c r="D255" i="2"/>
  <c r="AQ254" i="2"/>
  <c r="AP254" i="2"/>
  <c r="AO254" i="2"/>
  <c r="AN254" i="2"/>
  <c r="AM254" i="2"/>
  <c r="AL254" i="2"/>
  <c r="AK254" i="2"/>
  <c r="AJ254" i="2"/>
  <c r="AI254" i="2"/>
  <c r="AH254" i="2"/>
  <c r="AG254" i="2"/>
  <c r="AF254" i="2"/>
  <c r="AE254" i="2"/>
  <c r="AD254" i="2"/>
  <c r="AC254" i="2"/>
  <c r="AB254" i="2"/>
  <c r="AA254" i="2"/>
  <c r="Z254" i="2"/>
  <c r="Y254" i="2"/>
  <c r="X254" i="2"/>
  <c r="W254" i="2"/>
  <c r="V254" i="2"/>
  <c r="U254" i="2"/>
  <c r="T254" i="2"/>
  <c r="S254" i="2"/>
  <c r="R254" i="2"/>
  <c r="Q254" i="2"/>
  <c r="P254" i="2"/>
  <c r="O254" i="2"/>
  <c r="N254" i="2"/>
  <c r="M254" i="2"/>
  <c r="L254" i="2"/>
  <c r="K254" i="2"/>
  <c r="J254" i="2"/>
  <c r="I254" i="2"/>
  <c r="H254" i="2"/>
  <c r="G254" i="2"/>
  <c r="F254" i="2"/>
  <c r="E254" i="2"/>
  <c r="D254"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D159" i="2"/>
  <c r="AQ158" i="2"/>
  <c r="AP158" i="2"/>
  <c r="AO158" i="2"/>
  <c r="AN158" i="2"/>
  <c r="AM158" i="2"/>
  <c r="AL158" i="2"/>
  <c r="AK158" i="2"/>
  <c r="AJ158" i="2"/>
  <c r="AI158" i="2"/>
  <c r="AH158" i="2"/>
  <c r="AG158" i="2"/>
  <c r="AF158" i="2"/>
  <c r="AE158" i="2"/>
  <c r="AD158" i="2"/>
  <c r="AC158" i="2"/>
  <c r="AB158" i="2"/>
  <c r="AA158" i="2"/>
  <c r="Z158" i="2"/>
  <c r="Y158" i="2"/>
  <c r="X158" i="2"/>
  <c r="W158" i="2"/>
  <c r="V158" i="2"/>
  <c r="U158" i="2"/>
  <c r="T158" i="2"/>
  <c r="S158" i="2"/>
  <c r="R158" i="2"/>
  <c r="Q158" i="2"/>
  <c r="P158" i="2"/>
  <c r="O158" i="2"/>
  <c r="N158" i="2"/>
  <c r="M158" i="2"/>
  <c r="L158" i="2"/>
  <c r="K158" i="2"/>
  <c r="J158" i="2"/>
  <c r="I158" i="2"/>
  <c r="H158" i="2"/>
  <c r="G158" i="2"/>
  <c r="F158" i="2"/>
  <c r="E158" i="2"/>
  <c r="D158"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D110"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E109" i="2"/>
  <c r="D109" i="2"/>
  <c r="C103" i="2" l="1"/>
  <c r="C102" i="2"/>
  <c r="V77" i="2" l="1"/>
  <c r="P80" i="2"/>
  <c r="N80" i="2" l="1"/>
  <c r="V71" i="2"/>
  <c r="V65" i="2"/>
  <c r="V75" i="2"/>
  <c r="L80" i="2"/>
  <c r="V73" i="2"/>
  <c r="V69" i="2"/>
  <c r="J80" i="2"/>
  <c r="H80" i="2"/>
  <c r="F80" i="2"/>
  <c r="V67" i="2"/>
  <c r="Q80" i="2"/>
  <c r="D80" i="2"/>
  <c r="O80" i="2"/>
  <c r="V76" i="2"/>
  <c r="M80" i="2"/>
  <c r="V74" i="2"/>
  <c r="K80" i="2"/>
  <c r="V72" i="2"/>
  <c r="I80" i="2"/>
  <c r="V70" i="2"/>
  <c r="G80" i="2"/>
  <c r="V68" i="2"/>
  <c r="E80" i="2"/>
  <c r="V66" i="2"/>
  <c r="B114" i="2"/>
  <c r="E21" i="11"/>
  <c r="F22" i="11"/>
  <c r="G23" i="11"/>
  <c r="H24" i="11"/>
  <c r="I25" i="11"/>
  <c r="J26" i="11"/>
  <c r="K27" i="11"/>
  <c r="L28" i="11"/>
  <c r="M29" i="11"/>
  <c r="N30" i="11"/>
  <c r="O31" i="11"/>
  <c r="P32" i="11"/>
  <c r="D84" i="2" l="1"/>
  <c r="H30" i="8" s="1"/>
  <c r="D85" i="2"/>
  <c r="H31" i="8" s="1"/>
  <c r="D396" i="2"/>
  <c r="D20" i="11"/>
  <c r="Q365" i="2"/>
  <c r="Q33" i="11"/>
  <c r="Q497" i="2"/>
  <c r="Q409" i="2"/>
  <c r="Q541" i="2"/>
  <c r="Q453" i="2"/>
  <c r="N362" i="2"/>
  <c r="N538" i="2"/>
  <c r="O363" i="2"/>
  <c r="O539" i="2"/>
  <c r="M361" i="2"/>
  <c r="M537" i="2"/>
  <c r="K359" i="2"/>
  <c r="K535" i="2"/>
  <c r="I357" i="2"/>
  <c r="I533" i="2"/>
  <c r="G355" i="2"/>
  <c r="G531" i="2"/>
  <c r="E353" i="2"/>
  <c r="E529" i="2"/>
  <c r="D352" i="2"/>
  <c r="D528" i="2"/>
  <c r="P364" i="2"/>
  <c r="P540" i="2"/>
  <c r="L360" i="2"/>
  <c r="L536" i="2"/>
  <c r="J358" i="2"/>
  <c r="J534" i="2"/>
  <c r="H356" i="2"/>
  <c r="H532" i="2"/>
  <c r="F354" i="2"/>
  <c r="F530" i="2"/>
  <c r="B133" i="2"/>
  <c r="C694" i="2"/>
  <c r="C693" i="2"/>
  <c r="C692" i="2"/>
  <c r="C682" i="2"/>
  <c r="C681" i="2"/>
  <c r="C680" i="2"/>
  <c r="C679" i="2"/>
  <c r="E6" i="8" s="1"/>
  <c r="C678" i="2"/>
  <c r="E8" i="8" s="1"/>
  <c r="C648" i="2"/>
  <c r="CP686" i="2" l="1"/>
  <c r="AB687" i="2"/>
  <c r="AK688" i="2"/>
  <c r="F686" i="2"/>
  <c r="AA686" i="2"/>
  <c r="BG686" i="2"/>
  <c r="CM686" i="2"/>
  <c r="J686" i="2"/>
  <c r="AI686" i="2"/>
  <c r="BO686" i="2"/>
  <c r="N686" i="2"/>
  <c r="AQ686" i="2"/>
  <c r="BW686" i="2"/>
  <c r="S686" i="2"/>
  <c r="AY686" i="2"/>
  <c r="CE686" i="2"/>
  <c r="AV687" i="2"/>
  <c r="CM688" i="2"/>
  <c r="CI688" i="2"/>
  <c r="CE688" i="2"/>
  <c r="CA688" i="2"/>
  <c r="BW688" i="2"/>
  <c r="BS688" i="2"/>
  <c r="BO688" i="2"/>
  <c r="BK688" i="2"/>
  <c r="BG688" i="2"/>
  <c r="BC688" i="2"/>
  <c r="AY688" i="2"/>
  <c r="AU688" i="2"/>
  <c r="AQ688" i="2"/>
  <c r="AM688" i="2"/>
  <c r="AI688" i="2"/>
  <c r="AE688" i="2"/>
  <c r="AA688" i="2"/>
  <c r="W688" i="2"/>
  <c r="S688" i="2"/>
  <c r="O688" i="2"/>
  <c r="K688" i="2"/>
  <c r="G688" i="2"/>
  <c r="CP687" i="2"/>
  <c r="CL687" i="2"/>
  <c r="CH687" i="2"/>
  <c r="CD687" i="2"/>
  <c r="BZ687" i="2"/>
  <c r="BV687" i="2"/>
  <c r="BR687" i="2"/>
  <c r="BN687" i="2"/>
  <c r="BJ687" i="2"/>
  <c r="BF687" i="2"/>
  <c r="BB687" i="2"/>
  <c r="AX687" i="2"/>
  <c r="AT687" i="2"/>
  <c r="AP687" i="2"/>
  <c r="AL687" i="2"/>
  <c r="AH687" i="2"/>
  <c r="AD687" i="2"/>
  <c r="Z687" i="2"/>
  <c r="V687" i="2"/>
  <c r="R687" i="2"/>
  <c r="N687" i="2"/>
  <c r="J687" i="2"/>
  <c r="F687" i="2"/>
  <c r="CP688" i="2"/>
  <c r="CL688" i="2"/>
  <c r="CH688" i="2"/>
  <c r="CD688" i="2"/>
  <c r="BZ688" i="2"/>
  <c r="BV688" i="2"/>
  <c r="BR688" i="2"/>
  <c r="BN688" i="2"/>
  <c r="BJ688" i="2"/>
  <c r="BF688" i="2"/>
  <c r="BB688" i="2"/>
  <c r="AX688" i="2"/>
  <c r="AT688" i="2"/>
  <c r="AP688" i="2"/>
  <c r="AL688" i="2"/>
  <c r="AH688" i="2"/>
  <c r="AD688" i="2"/>
  <c r="Z688" i="2"/>
  <c r="V688" i="2"/>
  <c r="R688" i="2"/>
  <c r="N688" i="2"/>
  <c r="J688" i="2"/>
  <c r="F688" i="2"/>
  <c r="CO687" i="2"/>
  <c r="CK687" i="2"/>
  <c r="CG687" i="2"/>
  <c r="CC687" i="2"/>
  <c r="BY687" i="2"/>
  <c r="BU687" i="2"/>
  <c r="BQ687" i="2"/>
  <c r="BM687" i="2"/>
  <c r="BI687" i="2"/>
  <c r="BE687" i="2"/>
  <c r="BA687" i="2"/>
  <c r="AW687" i="2"/>
  <c r="AS687" i="2"/>
  <c r="AO687" i="2"/>
  <c r="AK687" i="2"/>
  <c r="AG687" i="2"/>
  <c r="AC687" i="2"/>
  <c r="Y687" i="2"/>
  <c r="U687" i="2"/>
  <c r="Q687" i="2"/>
  <c r="M687" i="2"/>
  <c r="I687" i="2"/>
  <c r="E687" i="2"/>
  <c r="CO688" i="2"/>
  <c r="CK688" i="2"/>
  <c r="CG688" i="2"/>
  <c r="CC688" i="2"/>
  <c r="BY688" i="2"/>
  <c r="BU688" i="2"/>
  <c r="BQ688" i="2"/>
  <c r="BM688" i="2"/>
  <c r="BI688" i="2"/>
  <c r="BE688" i="2"/>
  <c r="BA688" i="2"/>
  <c r="AW688" i="2"/>
  <c r="AS688" i="2"/>
  <c r="CN688" i="2"/>
  <c r="CJ688" i="2"/>
  <c r="CF688" i="2"/>
  <c r="CB688" i="2"/>
  <c r="BX688" i="2"/>
  <c r="BT688" i="2"/>
  <c r="BP688" i="2"/>
  <c r="BL688" i="2"/>
  <c r="BH688" i="2"/>
  <c r="BD688" i="2"/>
  <c r="AZ688" i="2"/>
  <c r="AV688" i="2"/>
  <c r="AR688" i="2"/>
  <c r="AN688" i="2"/>
  <c r="AJ688" i="2"/>
  <c r="AF688" i="2"/>
  <c r="AB688" i="2"/>
  <c r="X688" i="2"/>
  <c r="G686" i="2"/>
  <c r="K686" i="2"/>
  <c r="O686" i="2"/>
  <c r="V686" i="2"/>
  <c r="AD686" i="2"/>
  <c r="AL686" i="2"/>
  <c r="AT686" i="2"/>
  <c r="BB686" i="2"/>
  <c r="BJ686" i="2"/>
  <c r="BR686" i="2"/>
  <c r="BZ686" i="2"/>
  <c r="CH686" i="2"/>
  <c r="K687" i="2"/>
  <c r="S687" i="2"/>
  <c r="AA687" i="2"/>
  <c r="AI687" i="2"/>
  <c r="AQ687" i="2"/>
  <c r="AY687" i="2"/>
  <c r="BG687" i="2"/>
  <c r="BO687" i="2"/>
  <c r="BW687" i="2"/>
  <c r="CE687" i="2"/>
  <c r="CM687" i="2"/>
  <c r="H688" i="2"/>
  <c r="P688" i="2"/>
  <c r="Y688" i="2"/>
  <c r="AO688" i="2"/>
  <c r="AJ687" i="2"/>
  <c r="AR687" i="2"/>
  <c r="AZ687" i="2"/>
  <c r="BH687" i="2"/>
  <c r="BP687" i="2"/>
  <c r="BX687" i="2"/>
  <c r="CF687" i="2"/>
  <c r="CN687" i="2"/>
  <c r="I688" i="2"/>
  <c r="Q688" i="2"/>
  <c r="AC688" i="2"/>
  <c r="H687" i="2"/>
  <c r="AF687" i="2"/>
  <c r="BL687" i="2"/>
  <c r="CO686" i="2"/>
  <c r="CK686" i="2"/>
  <c r="CG686" i="2"/>
  <c r="CC686" i="2"/>
  <c r="BY686" i="2"/>
  <c r="BU686" i="2"/>
  <c r="BQ686" i="2"/>
  <c r="BM686" i="2"/>
  <c r="BI686" i="2"/>
  <c r="BE686" i="2"/>
  <c r="BA686" i="2"/>
  <c r="AW686" i="2"/>
  <c r="AS686" i="2"/>
  <c r="AO686" i="2"/>
  <c r="AK686" i="2"/>
  <c r="AG686" i="2"/>
  <c r="AC686" i="2"/>
  <c r="Y686" i="2"/>
  <c r="U686" i="2"/>
  <c r="Q686" i="2"/>
  <c r="CN686" i="2"/>
  <c r="CJ686" i="2"/>
  <c r="CF686" i="2"/>
  <c r="CB686" i="2"/>
  <c r="BX686" i="2"/>
  <c r="BT686" i="2"/>
  <c r="BP686" i="2"/>
  <c r="BL686" i="2"/>
  <c r="BH686" i="2"/>
  <c r="BD686" i="2"/>
  <c r="AZ686" i="2"/>
  <c r="AV686" i="2"/>
  <c r="AR686" i="2"/>
  <c r="AN686" i="2"/>
  <c r="AJ686" i="2"/>
  <c r="AF686" i="2"/>
  <c r="AB686" i="2"/>
  <c r="X686" i="2"/>
  <c r="T686" i="2"/>
  <c r="D686" i="2"/>
  <c r="H686" i="2"/>
  <c r="L686" i="2"/>
  <c r="P686" i="2"/>
  <c r="W686" i="2"/>
  <c r="AE686" i="2"/>
  <c r="AM686" i="2"/>
  <c r="AU686" i="2"/>
  <c r="BC686" i="2"/>
  <c r="BK686" i="2"/>
  <c r="BS686" i="2"/>
  <c r="CA686" i="2"/>
  <c r="CI686" i="2"/>
  <c r="D687" i="2"/>
  <c r="L687" i="2"/>
  <c r="T687" i="2"/>
  <c r="E686" i="2"/>
  <c r="I686" i="2"/>
  <c r="M686" i="2"/>
  <c r="R686" i="2"/>
  <c r="Z686" i="2"/>
  <c r="AH686" i="2"/>
  <c r="AP686" i="2"/>
  <c r="AX686" i="2"/>
  <c r="BF686" i="2"/>
  <c r="BN686" i="2"/>
  <c r="BV686" i="2"/>
  <c r="CD686" i="2"/>
  <c r="CL686" i="2"/>
  <c r="G687" i="2"/>
  <c r="O687" i="2"/>
  <c r="W687" i="2"/>
  <c r="AE687" i="2"/>
  <c r="AM687" i="2"/>
  <c r="AU687" i="2"/>
  <c r="BC687" i="2"/>
  <c r="BK687" i="2"/>
  <c r="BS687" i="2"/>
  <c r="CA687" i="2"/>
  <c r="CI687" i="2"/>
  <c r="D688" i="2"/>
  <c r="L688" i="2"/>
  <c r="T688" i="2"/>
  <c r="AG688" i="2"/>
  <c r="P687" i="2"/>
  <c r="X687" i="2"/>
  <c r="AN687" i="2"/>
  <c r="BD687" i="2"/>
  <c r="BT687" i="2"/>
  <c r="CB687" i="2"/>
  <c r="CJ687" i="2"/>
  <c r="E688" i="2"/>
  <c r="M688" i="2"/>
  <c r="U688" i="2"/>
  <c r="C649" i="2"/>
  <c r="C644" i="2"/>
  <c r="CM697" i="2" l="1"/>
  <c r="C646" i="2"/>
  <c r="AS697" i="2"/>
  <c r="BI697" i="2"/>
  <c r="BY697" i="2"/>
  <c r="CO697" i="2"/>
  <c r="BW697" i="2"/>
  <c r="CH697" i="2"/>
  <c r="BB697" i="2"/>
  <c r="BH697" i="2"/>
  <c r="AV697" i="2"/>
  <c r="BL697" i="2"/>
  <c r="CN697" i="2"/>
  <c r="BN697" i="2"/>
  <c r="AH697" i="2"/>
  <c r="AQ697" i="2"/>
  <c r="BJ697" i="2"/>
  <c r="AD697" i="2"/>
  <c r="CP697" i="2"/>
  <c r="BK697" i="2"/>
  <c r="AE697" i="2"/>
  <c r="AY697" i="2"/>
  <c r="CE697" i="2"/>
  <c r="BG697" i="2"/>
  <c r="AI697" i="2"/>
  <c r="BO697" i="2"/>
  <c r="AR697" i="2"/>
  <c r="BX697" i="2"/>
  <c r="CI697" i="2"/>
  <c r="BC697" i="2"/>
  <c r="AF697" i="2"/>
  <c r="CB697" i="2"/>
  <c r="AG697" i="2"/>
  <c r="BR697" i="2"/>
  <c r="AL697" i="2"/>
  <c r="CL697" i="2"/>
  <c r="D697" i="2"/>
  <c r="D698" i="2" s="1"/>
  <c r="BM697" i="2"/>
  <c r="CD697" i="2"/>
  <c r="AX697" i="2"/>
  <c r="CA697" i="2"/>
  <c r="AU697" i="2"/>
  <c r="AJ697" i="2"/>
  <c r="AZ697" i="2"/>
  <c r="BP697" i="2"/>
  <c r="CF697" i="2"/>
  <c r="AK697" i="2"/>
  <c r="BA697" i="2"/>
  <c r="BQ697" i="2"/>
  <c r="CG697" i="2"/>
  <c r="BZ697" i="2"/>
  <c r="AT697" i="2"/>
  <c r="BF697" i="2"/>
  <c r="AW697" i="2"/>
  <c r="CC697" i="2"/>
  <c r="BV697" i="2"/>
  <c r="AP697" i="2"/>
  <c r="BS697" i="2"/>
  <c r="AM697" i="2"/>
  <c r="AN697" i="2"/>
  <c r="BD697" i="2"/>
  <c r="BT697" i="2"/>
  <c r="CJ697" i="2"/>
  <c r="AO697" i="2"/>
  <c r="BE697" i="2"/>
  <c r="BU697" i="2"/>
  <c r="CK697" i="2"/>
  <c r="C579" i="2" l="1"/>
  <c r="C572" i="2"/>
  <c r="E10" i="8" s="1"/>
  <c r="J573" i="2" l="1"/>
  <c r="W573" i="2"/>
  <c r="AS573" i="2"/>
  <c r="BV573" i="2"/>
  <c r="CC573" i="2"/>
  <c r="Q573" i="2"/>
  <c r="BG573" i="2"/>
  <c r="CI573" i="2"/>
  <c r="E573" i="2"/>
  <c r="K573" i="2"/>
  <c r="R573" i="2"/>
  <c r="Z573" i="2"/>
  <c r="AG573" i="2"/>
  <c r="AM573" i="2"/>
  <c r="AU573" i="2"/>
  <c r="BB573" i="2"/>
  <c r="BI573" i="2"/>
  <c r="BQ573" i="2"/>
  <c r="BW573" i="2"/>
  <c r="CD573" i="2"/>
  <c r="CL573" i="2"/>
  <c r="AE573" i="2"/>
  <c r="BA573" i="2"/>
  <c r="M573" i="2"/>
  <c r="AA573" i="2"/>
  <c r="AH573" i="2"/>
  <c r="AP573" i="2"/>
  <c r="AW573" i="2"/>
  <c r="BC573" i="2"/>
  <c r="BK573" i="2"/>
  <c r="BR573" i="2"/>
  <c r="BY573" i="2"/>
  <c r="CG573" i="2"/>
  <c r="CM573" i="2"/>
  <c r="AL573" i="2"/>
  <c r="BN573" i="2"/>
  <c r="F573" i="2"/>
  <c r="U573" i="2"/>
  <c r="G573" i="2"/>
  <c r="O573" i="2"/>
  <c r="V573" i="2"/>
  <c r="AC573" i="2"/>
  <c r="AK573" i="2"/>
  <c r="AQ573" i="2"/>
  <c r="AX573" i="2"/>
  <c r="BF573" i="2"/>
  <c r="BM573" i="2"/>
  <c r="BS573" i="2"/>
  <c r="CA573" i="2"/>
  <c r="CH573" i="2"/>
  <c r="CO573" i="2"/>
  <c r="I573" i="2"/>
  <c r="N573" i="2"/>
  <c r="S573" i="2"/>
  <c r="Y573" i="2"/>
  <c r="AD573" i="2"/>
  <c r="AI573" i="2"/>
  <c r="AO573" i="2"/>
  <c r="AT573" i="2"/>
  <c r="AY573" i="2"/>
  <c r="BE573" i="2"/>
  <c r="BJ573" i="2"/>
  <c r="BO573" i="2"/>
  <c r="BU573" i="2"/>
  <c r="BZ573" i="2"/>
  <c r="CE573" i="2"/>
  <c r="CK573" i="2"/>
  <c r="CP573" i="2"/>
  <c r="H573" i="2"/>
  <c r="L573" i="2"/>
  <c r="P573" i="2"/>
  <c r="T573" i="2"/>
  <c r="X573" i="2"/>
  <c r="AB573" i="2"/>
  <c r="AF573" i="2"/>
  <c r="AJ573" i="2"/>
  <c r="AN573" i="2"/>
  <c r="AR573" i="2"/>
  <c r="AV573" i="2"/>
  <c r="AZ573" i="2"/>
  <c r="BD573" i="2"/>
  <c r="BH573" i="2"/>
  <c r="BL573" i="2"/>
  <c r="BP573" i="2"/>
  <c r="BT573" i="2"/>
  <c r="BX573" i="2"/>
  <c r="CB573" i="2"/>
  <c r="CF573" i="2"/>
  <c r="CJ573" i="2"/>
  <c r="CN573" i="2"/>
  <c r="D573" i="2"/>
  <c r="P496" i="2" l="1"/>
  <c r="O495" i="2"/>
  <c r="N494" i="2"/>
  <c r="M493" i="2"/>
  <c r="L492" i="2"/>
  <c r="K491" i="2"/>
  <c r="J490" i="2"/>
  <c r="I489" i="2"/>
  <c r="H488" i="2"/>
  <c r="G487" i="2"/>
  <c r="F486" i="2"/>
  <c r="E485" i="2"/>
  <c r="D484" i="2"/>
  <c r="P452" i="2"/>
  <c r="O451" i="2"/>
  <c r="N450" i="2"/>
  <c r="M449" i="2"/>
  <c r="L448" i="2"/>
  <c r="K447" i="2"/>
  <c r="J446" i="2"/>
  <c r="I445" i="2"/>
  <c r="H444" i="2"/>
  <c r="G443" i="2"/>
  <c r="F442" i="2"/>
  <c r="E441" i="2"/>
  <c r="D440" i="2"/>
  <c r="O407" i="2"/>
  <c r="M405" i="2"/>
  <c r="K403" i="2"/>
  <c r="I401" i="2"/>
  <c r="G399" i="2"/>
  <c r="E397" i="2"/>
  <c r="C575" i="2" l="1"/>
  <c r="C89" i="2"/>
  <c r="C93" i="2" s="1"/>
  <c r="C92" i="2" l="1"/>
  <c r="C91" i="2"/>
  <c r="BL576" i="2"/>
  <c r="D581" i="2"/>
  <c r="BX581" i="2"/>
  <c r="AV576" i="2"/>
  <c r="Q583" i="2"/>
  <c r="Z576" i="2"/>
  <c r="BH581" i="2"/>
  <c r="AN576" i="2"/>
  <c r="CN581" i="2"/>
  <c r="CG583" i="2"/>
  <c r="CF583" i="2"/>
  <c r="BP583" i="2"/>
  <c r="AZ583" i="2"/>
  <c r="AJ583" i="2"/>
  <c r="BQ583" i="2"/>
  <c r="AU583" i="2"/>
  <c r="AB583" i="2"/>
  <c r="L583" i="2"/>
  <c r="CE581" i="2"/>
  <c r="BO581" i="2"/>
  <c r="CH583" i="2"/>
  <c r="BJ583" i="2"/>
  <c r="AO583" i="2"/>
  <c r="W583" i="2"/>
  <c r="G583" i="2"/>
  <c r="CD581" i="2"/>
  <c r="BN581" i="2"/>
  <c r="AX581" i="2"/>
  <c r="AH581" i="2"/>
  <c r="R581" i="2"/>
  <c r="C578" i="2"/>
  <c r="CA576" i="2"/>
  <c r="BK576" i="2"/>
  <c r="AU576" i="2"/>
  <c r="AE576" i="2"/>
  <c r="O576" i="2"/>
  <c r="BY583" i="2"/>
  <c r="BC583" i="2"/>
  <c r="AH583" i="2"/>
  <c r="R583" i="2"/>
  <c r="CO581" i="2"/>
  <c r="BY581" i="2"/>
  <c r="BI581" i="2"/>
  <c r="AS581" i="2"/>
  <c r="AC581" i="2"/>
  <c r="M581" i="2"/>
  <c r="CL576" i="2"/>
  <c r="BV576" i="2"/>
  <c r="BF576" i="2"/>
  <c r="AP576" i="2"/>
  <c r="V576" i="2"/>
  <c r="CK576" i="2"/>
  <c r="CB581" i="2"/>
  <c r="H576" i="2"/>
  <c r="AC576" i="2"/>
  <c r="BH576" i="2"/>
  <c r="CN576" i="2"/>
  <c r="AE581" i="2"/>
  <c r="BP581" i="2"/>
  <c r="AQ583" i="2"/>
  <c r="Q576" i="2"/>
  <c r="BU576" i="2"/>
  <c r="AR581" i="2"/>
  <c r="CD583" i="2"/>
  <c r="T576" i="2"/>
  <c r="AS576" i="2"/>
  <c r="BY576" i="2"/>
  <c r="P581" i="2"/>
  <c r="AV581" i="2"/>
  <c r="M583" i="2"/>
  <c r="CH576" i="2"/>
  <c r="BB576" i="2"/>
  <c r="AG576" i="2"/>
  <c r="U583" i="2"/>
  <c r="M576" i="2"/>
  <c r="AJ576" i="2"/>
  <c r="BP576" i="2"/>
  <c r="G581" i="2"/>
  <c r="CF581" i="2"/>
  <c r="BM583" i="2"/>
  <c r="AB576" i="2"/>
  <c r="BL581" i="2"/>
  <c r="E576" i="2"/>
  <c r="BA576" i="2"/>
  <c r="CG576" i="2"/>
  <c r="BD581" i="2"/>
  <c r="BW583" i="2"/>
  <c r="CB576" i="2"/>
  <c r="BD576" i="2"/>
  <c r="AG583" i="2"/>
  <c r="BT576" i="2"/>
  <c r="CC583" i="2"/>
  <c r="CB583" i="2"/>
  <c r="BL583" i="2"/>
  <c r="AV583" i="2"/>
  <c r="CI583" i="2"/>
  <c r="BK583" i="2"/>
  <c r="AP583" i="2"/>
  <c r="X583" i="2"/>
  <c r="H583" i="2"/>
  <c r="CA581" i="2"/>
  <c r="BK581" i="2"/>
  <c r="BZ583" i="2"/>
  <c r="BE583" i="2"/>
  <c r="AI583" i="2"/>
  <c r="S583" i="2"/>
  <c r="CP581" i="2"/>
  <c r="BZ581" i="2"/>
  <c r="BJ581" i="2"/>
  <c r="AT581" i="2"/>
  <c r="AD581" i="2"/>
  <c r="N581" i="2"/>
  <c r="CM576" i="2"/>
  <c r="BW576" i="2"/>
  <c r="BG576" i="2"/>
  <c r="AQ576" i="2"/>
  <c r="AA576" i="2"/>
  <c r="K576" i="2"/>
  <c r="BS583" i="2"/>
  <c r="AX583" i="2"/>
  <c r="AD583" i="2"/>
  <c r="N583" i="2"/>
  <c r="CK581" i="2"/>
  <c r="BU581" i="2"/>
  <c r="BE581" i="2"/>
  <c r="AO581" i="2"/>
  <c r="Y581" i="2"/>
  <c r="I581" i="2"/>
  <c r="BR576" i="2"/>
  <c r="AL576" i="2"/>
  <c r="T581" i="2"/>
  <c r="AM581" i="2"/>
  <c r="CC576" i="2"/>
  <c r="Y576" i="2"/>
  <c r="X581" i="2"/>
  <c r="AI581" i="2"/>
  <c r="AF576" i="2"/>
  <c r="BB583" i="2"/>
  <c r="S581" i="2"/>
  <c r="CJ576" i="2"/>
  <c r="D583" i="2"/>
  <c r="K581" i="2"/>
  <c r="CO583" i="2"/>
  <c r="CN583" i="2"/>
  <c r="BX583" i="2"/>
  <c r="BH583" i="2"/>
  <c r="AR583" i="2"/>
  <c r="CA583" i="2"/>
  <c r="BF583" i="2"/>
  <c r="AK583" i="2"/>
  <c r="T583" i="2"/>
  <c r="CM581" i="2"/>
  <c r="BW581" i="2"/>
  <c r="BG581" i="2"/>
  <c r="BU583" i="2"/>
  <c r="AY583" i="2"/>
  <c r="AE583" i="2"/>
  <c r="O583" i="2"/>
  <c r="CL581" i="2"/>
  <c r="BV581" i="2"/>
  <c r="BF581" i="2"/>
  <c r="BF585" i="2" s="1"/>
  <c r="AP581" i="2"/>
  <c r="AP585" i="2" s="1"/>
  <c r="Z581" i="2"/>
  <c r="J581" i="2"/>
  <c r="CI576" i="2"/>
  <c r="BS576" i="2"/>
  <c r="BC576" i="2"/>
  <c r="AM576" i="2"/>
  <c r="W576" i="2"/>
  <c r="CM583" i="2"/>
  <c r="BN583" i="2"/>
  <c r="AS583" i="2"/>
  <c r="Z583" i="2"/>
  <c r="J583" i="2"/>
  <c r="CG581" i="2"/>
  <c r="BQ581" i="2"/>
  <c r="BA581" i="2"/>
  <c r="AK581" i="2"/>
  <c r="U581" i="2"/>
  <c r="E581" i="2"/>
  <c r="CD576" i="2"/>
  <c r="BN576" i="2"/>
  <c r="AX576" i="2"/>
  <c r="AH576" i="2"/>
  <c r="AW576" i="2"/>
  <c r="AJ581" i="2"/>
  <c r="BG583" i="2"/>
  <c r="R576" i="2"/>
  <c r="AR576" i="2"/>
  <c r="BX576" i="2"/>
  <c r="O581" i="2"/>
  <c r="AU581" i="2"/>
  <c r="I583" i="2"/>
  <c r="CL583" i="2"/>
  <c r="AO576" i="2"/>
  <c r="J576" i="2"/>
  <c r="U576" i="2"/>
  <c r="AY581" i="2"/>
  <c r="F576" i="2"/>
  <c r="AA581" i="2"/>
  <c r="P576" i="2"/>
  <c r="AQ581" i="2"/>
  <c r="CK583" i="2"/>
  <c r="CJ583" i="2"/>
  <c r="BT583" i="2"/>
  <c r="BD583" i="2"/>
  <c r="AN583" i="2"/>
  <c r="BV583" i="2"/>
  <c r="BA583" i="2"/>
  <c r="AF583" i="2"/>
  <c r="P583" i="2"/>
  <c r="CI581" i="2"/>
  <c r="BS581" i="2"/>
  <c r="CP583" i="2"/>
  <c r="BO583" i="2"/>
  <c r="AT583" i="2"/>
  <c r="AA583" i="2"/>
  <c r="K583" i="2"/>
  <c r="CH581" i="2"/>
  <c r="BR581" i="2"/>
  <c r="BB581" i="2"/>
  <c r="AL581" i="2"/>
  <c r="V581" i="2"/>
  <c r="F581" i="2"/>
  <c r="CE576" i="2"/>
  <c r="BO576" i="2"/>
  <c r="AY576" i="2"/>
  <c r="AI576" i="2"/>
  <c r="S576" i="2"/>
  <c r="CE583" i="2"/>
  <c r="BI583" i="2"/>
  <c r="AM583" i="2"/>
  <c r="V583" i="2"/>
  <c r="F583" i="2"/>
  <c r="CC581" i="2"/>
  <c r="BM581" i="2"/>
  <c r="AW581" i="2"/>
  <c r="AG581" i="2"/>
  <c r="Q581" i="2"/>
  <c r="CP576" i="2"/>
  <c r="BZ576" i="2"/>
  <c r="BJ576" i="2"/>
  <c r="AT576" i="2"/>
  <c r="L576" i="2"/>
  <c r="BM576" i="2"/>
  <c r="AZ581" i="2"/>
  <c r="D576" i="2"/>
  <c r="X576" i="2"/>
  <c r="AZ576" i="2"/>
  <c r="CF576" i="2"/>
  <c r="W581" i="2"/>
  <c r="BC581" i="2"/>
  <c r="Y583" i="2"/>
  <c r="BE576" i="2"/>
  <c r="AL583" i="2"/>
  <c r="AK576" i="2"/>
  <c r="H581" i="2"/>
  <c r="CJ581" i="2"/>
  <c r="L581" i="2"/>
  <c r="I576" i="2"/>
  <c r="BI576" i="2"/>
  <c r="AF581" i="2"/>
  <c r="AB581" i="2"/>
  <c r="N576" i="2"/>
  <c r="BQ576" i="2"/>
  <c r="AN581" i="2"/>
  <c r="AW583" i="2"/>
  <c r="BR583" i="2"/>
  <c r="AC583" i="2"/>
  <c r="G576" i="2"/>
  <c r="E583" i="2"/>
  <c r="AD576" i="2"/>
  <c r="CO576" i="2"/>
  <c r="BT581" i="2"/>
  <c r="Y212" i="2" l="1"/>
  <c r="D212" i="2"/>
  <c r="T212" i="2"/>
  <c r="AJ212" i="2"/>
  <c r="AE212" i="2"/>
  <c r="M212" i="2"/>
  <c r="AC212" i="2"/>
  <c r="K212" i="2"/>
  <c r="AQ212" i="2"/>
  <c r="R212" i="2"/>
  <c r="AH212" i="2"/>
  <c r="H212" i="2"/>
  <c r="X212" i="2"/>
  <c r="AN212" i="2"/>
  <c r="AM212" i="2"/>
  <c r="Q212" i="2"/>
  <c r="AG212" i="2"/>
  <c r="O212" i="2"/>
  <c r="F212" i="2"/>
  <c r="V212" i="2"/>
  <c r="AL212" i="2"/>
  <c r="L212" i="2"/>
  <c r="AB212" i="2"/>
  <c r="G212" i="2"/>
  <c r="E212" i="2"/>
  <c r="U212" i="2"/>
  <c r="AK212" i="2"/>
  <c r="AA212" i="2"/>
  <c r="J212" i="2"/>
  <c r="Z212" i="2"/>
  <c r="AP212" i="2"/>
  <c r="W212" i="2"/>
  <c r="P212" i="2"/>
  <c r="AF212" i="2"/>
  <c r="S212" i="2"/>
  <c r="I212" i="2"/>
  <c r="AO212" i="2"/>
  <c r="AI212" i="2"/>
  <c r="N212" i="2"/>
  <c r="AD212" i="2"/>
  <c r="C112" i="2"/>
  <c r="G260" i="2"/>
  <c r="U308" i="2"/>
  <c r="K308" i="2"/>
  <c r="AA308" i="2"/>
  <c r="D308" i="2"/>
  <c r="T308" i="2"/>
  <c r="AJ308" i="2"/>
  <c r="AG308" i="2"/>
  <c r="N308" i="2"/>
  <c r="AD308" i="2"/>
  <c r="AN308" i="2"/>
  <c r="Y308" i="2"/>
  <c r="AC308" i="2"/>
  <c r="O308" i="2"/>
  <c r="AE308" i="2"/>
  <c r="H308" i="2"/>
  <c r="X308" i="2"/>
  <c r="I308" i="2"/>
  <c r="AO308" i="2"/>
  <c r="R308" i="2"/>
  <c r="AH308" i="2"/>
  <c r="AK308" i="2"/>
  <c r="S308" i="2"/>
  <c r="AI308" i="2"/>
  <c r="L308" i="2"/>
  <c r="AB308" i="2"/>
  <c r="Q308" i="2"/>
  <c r="F308" i="2"/>
  <c r="V308" i="2"/>
  <c r="AL308" i="2"/>
  <c r="E308" i="2"/>
  <c r="M308" i="2"/>
  <c r="G308" i="2"/>
  <c r="W308" i="2"/>
  <c r="AQ308" i="2"/>
  <c r="P308" i="2"/>
  <c r="AF308" i="2"/>
  <c r="J308" i="2"/>
  <c r="Z308" i="2"/>
  <c r="AP308" i="2"/>
  <c r="AM308" i="2"/>
  <c r="C109" i="2"/>
  <c r="D164" i="2"/>
  <c r="E164" i="2"/>
  <c r="F164" i="2"/>
  <c r="C110" i="2"/>
  <c r="C207" i="2"/>
  <c r="C255" i="2"/>
  <c r="C303" i="2"/>
  <c r="C159" i="2"/>
  <c r="C158" i="2"/>
  <c r="C206" i="2"/>
  <c r="C254" i="2"/>
  <c r="C302" i="2"/>
  <c r="C111" i="2"/>
  <c r="C256" i="2"/>
  <c r="C304" i="2"/>
  <c r="C160" i="2"/>
  <c r="C208" i="2"/>
  <c r="AF164" i="2"/>
  <c r="M164" i="2"/>
  <c r="AC164" i="2"/>
  <c r="H164" i="2"/>
  <c r="Z164" i="2"/>
  <c r="AJ164" i="2"/>
  <c r="AD164" i="2"/>
  <c r="O164" i="2"/>
  <c r="AE164" i="2"/>
  <c r="P164" i="2"/>
  <c r="AN164" i="2"/>
  <c r="Q164" i="2"/>
  <c r="AG164" i="2"/>
  <c r="AB164" i="2"/>
  <c r="AH164" i="2"/>
  <c r="AL164" i="2"/>
  <c r="S164" i="2"/>
  <c r="AI164" i="2"/>
  <c r="T164" i="2"/>
  <c r="U164" i="2"/>
  <c r="AK164" i="2"/>
  <c r="J164" i="2"/>
  <c r="AP164" i="2"/>
  <c r="N164" i="2"/>
  <c r="G164" i="2"/>
  <c r="W164" i="2"/>
  <c r="AM164" i="2"/>
  <c r="X164" i="2"/>
  <c r="I164" i="2"/>
  <c r="Y164" i="2"/>
  <c r="AO164" i="2"/>
  <c r="R164" i="2"/>
  <c r="L164" i="2"/>
  <c r="V164" i="2"/>
  <c r="K164" i="2"/>
  <c r="AA164" i="2"/>
  <c r="AQ164" i="2"/>
  <c r="F260" i="2"/>
  <c r="AL260" i="2"/>
  <c r="O260" i="2"/>
  <c r="J260" i="2"/>
  <c r="N260" i="2"/>
  <c r="R260" i="2"/>
  <c r="V260" i="2"/>
  <c r="Z260" i="2"/>
  <c r="AD260" i="2"/>
  <c r="AH260" i="2"/>
  <c r="AP260" i="2"/>
  <c r="W260" i="2"/>
  <c r="K260" i="2"/>
  <c r="S260" i="2"/>
  <c r="AA260" i="2"/>
  <c r="AE260" i="2"/>
  <c r="AI260" i="2"/>
  <c r="AM260" i="2"/>
  <c r="M260" i="2"/>
  <c r="L260" i="2"/>
  <c r="AB260" i="2"/>
  <c r="I260" i="2"/>
  <c r="Y260" i="2"/>
  <c r="P260" i="2"/>
  <c r="AF260" i="2"/>
  <c r="U260" i="2"/>
  <c r="AQ260" i="2"/>
  <c r="AG260" i="2"/>
  <c r="D260" i="2"/>
  <c r="T260" i="2"/>
  <c r="AJ260" i="2"/>
  <c r="Q260" i="2"/>
  <c r="AC260" i="2"/>
  <c r="E260" i="2"/>
  <c r="AK260" i="2"/>
  <c r="H260" i="2"/>
  <c r="X260" i="2"/>
  <c r="AN260" i="2"/>
  <c r="AO260" i="2"/>
  <c r="CH585" i="2"/>
  <c r="AU585" i="2"/>
  <c r="AB585" i="2"/>
  <c r="Q585" i="2"/>
  <c r="AF585" i="2"/>
  <c r="AG585" i="2"/>
  <c r="BC585" i="2"/>
  <c r="CI585" i="2"/>
  <c r="BM585" i="2"/>
  <c r="F585" i="2"/>
  <c r="AA585" i="2"/>
  <c r="E585" i="2"/>
  <c r="BQ585" i="2"/>
  <c r="CM585" i="2"/>
  <c r="BU585" i="2"/>
  <c r="BZ585" i="2"/>
  <c r="P585" i="2"/>
  <c r="CG585" i="2"/>
  <c r="BT585" i="2"/>
  <c r="V585" i="2"/>
  <c r="U585" i="2"/>
  <c r="Z585" i="2"/>
  <c r="AZ585" i="2"/>
  <c r="BK585" i="2"/>
  <c r="BO585" i="2"/>
  <c r="J585" i="2"/>
  <c r="I585" i="2"/>
  <c r="W585" i="2"/>
  <c r="O585" i="2"/>
  <c r="CL585" i="2"/>
  <c r="S585" i="2"/>
  <c r="X585" i="2"/>
  <c r="T585" i="2"/>
  <c r="Y585" i="2"/>
  <c r="CK585" i="2"/>
  <c r="AD585" i="2"/>
  <c r="CP585" i="2"/>
  <c r="CF585" i="2"/>
  <c r="AR585" i="2"/>
  <c r="BP585" i="2"/>
  <c r="BI585" i="2"/>
  <c r="BN585" i="2"/>
  <c r="CE585" i="2"/>
  <c r="BH585" i="2"/>
  <c r="BX585" i="2"/>
  <c r="BR585" i="2"/>
  <c r="AM585" i="2"/>
  <c r="AS585" i="2"/>
  <c r="AX585" i="2"/>
  <c r="L585" i="2"/>
  <c r="CC585" i="2"/>
  <c r="AL585" i="2"/>
  <c r="AY585" i="2"/>
  <c r="AJ585" i="2"/>
  <c r="AK585" i="2"/>
  <c r="BG585" i="2"/>
  <c r="K585" i="2"/>
  <c r="AO585" i="2"/>
  <c r="AT585" i="2"/>
  <c r="BD585" i="2"/>
  <c r="BL585" i="2"/>
  <c r="G585" i="2"/>
  <c r="AE585" i="2"/>
  <c r="M585" i="2"/>
  <c r="BY585" i="2"/>
  <c r="R585" i="2"/>
  <c r="CD585" i="2"/>
  <c r="D585" i="2"/>
  <c r="BV585" i="2"/>
  <c r="AI585" i="2"/>
  <c r="N585" i="2"/>
  <c r="AN585" i="2"/>
  <c r="CJ585" i="2"/>
  <c r="AQ585" i="2"/>
  <c r="H585" i="2"/>
  <c r="AW585" i="2"/>
  <c r="BB585" i="2"/>
  <c r="BS585" i="2"/>
  <c r="BA585" i="2"/>
  <c r="BW585" i="2"/>
  <c r="BE585" i="2"/>
  <c r="BJ585" i="2"/>
  <c r="CA585" i="2"/>
  <c r="AV585" i="2"/>
  <c r="CB585" i="2"/>
  <c r="AC585" i="2"/>
  <c r="CO585" i="2"/>
  <c r="AH585" i="2"/>
  <c r="CN585" i="2"/>
  <c r="P327" i="2" l="1"/>
  <c r="L327" i="2"/>
  <c r="H327" i="2"/>
  <c r="O327" i="2"/>
  <c r="K327" i="2"/>
  <c r="G327" i="2"/>
  <c r="M327" i="2"/>
  <c r="E327" i="2"/>
  <c r="N327" i="2"/>
  <c r="J327" i="2"/>
  <c r="F327" i="2"/>
  <c r="I327" i="2"/>
  <c r="D327" i="2"/>
  <c r="D279" i="2"/>
  <c r="M279" i="2"/>
  <c r="I279" i="2"/>
  <c r="E279" i="2"/>
  <c r="P279" i="2"/>
  <c r="L279" i="2"/>
  <c r="H279" i="2"/>
  <c r="O279" i="2"/>
  <c r="G279" i="2"/>
  <c r="N279" i="2"/>
  <c r="J279" i="2"/>
  <c r="F279" i="2"/>
  <c r="K279" i="2"/>
  <c r="P231" i="2"/>
  <c r="O231" i="2"/>
  <c r="K231" i="2"/>
  <c r="G231" i="2"/>
  <c r="M231" i="2"/>
  <c r="E231" i="2"/>
  <c r="H231" i="2"/>
  <c r="D231" i="2"/>
  <c r="N231" i="2"/>
  <c r="J231" i="2"/>
  <c r="F231" i="2"/>
  <c r="I231" i="2"/>
  <c r="L231" i="2"/>
  <c r="O183" i="2"/>
  <c r="K183" i="2"/>
  <c r="G183" i="2"/>
  <c r="N183" i="2"/>
  <c r="J183" i="2"/>
  <c r="F183" i="2"/>
  <c r="M183" i="2"/>
  <c r="I183" i="2"/>
  <c r="E183" i="2"/>
  <c r="P183" i="2"/>
  <c r="L183" i="2"/>
  <c r="H183" i="2"/>
  <c r="D183" i="2"/>
  <c r="E331" i="2"/>
  <c r="D332" i="2" s="1"/>
  <c r="D529" i="2" s="1"/>
  <c r="K337" i="2"/>
  <c r="D116" i="2"/>
  <c r="E116" i="2"/>
  <c r="T116" i="2"/>
  <c r="M116" i="2"/>
  <c r="AK116" i="2"/>
  <c r="R116" i="2"/>
  <c r="AH116" i="2"/>
  <c r="L116" i="2"/>
  <c r="I116" i="2"/>
  <c r="G116" i="2"/>
  <c r="W116" i="2"/>
  <c r="AM116" i="2"/>
  <c r="AB116" i="2"/>
  <c r="Q116" i="2"/>
  <c r="F116" i="2"/>
  <c r="V116" i="2"/>
  <c r="AL116" i="2"/>
  <c r="X116" i="2"/>
  <c r="U116" i="2"/>
  <c r="K116" i="2"/>
  <c r="AA116" i="2"/>
  <c r="AQ116" i="2"/>
  <c r="H116" i="2"/>
  <c r="AF116" i="2"/>
  <c r="Y116" i="2"/>
  <c r="J116" i="2"/>
  <c r="Z116" i="2"/>
  <c r="AP116" i="2"/>
  <c r="AJ116" i="2"/>
  <c r="AC116" i="2"/>
  <c r="O116" i="2"/>
  <c r="AE116" i="2"/>
  <c r="P116" i="2"/>
  <c r="AN116" i="2"/>
  <c r="AG116" i="2"/>
  <c r="N116" i="2"/>
  <c r="AD116" i="2"/>
  <c r="AO116" i="2"/>
  <c r="S116" i="2"/>
  <c r="AI116" i="2"/>
  <c r="C587" i="2"/>
  <c r="AA697" i="2"/>
  <c r="S697" i="2"/>
  <c r="G697" i="2"/>
  <c r="M697" i="2"/>
  <c r="H697" i="2"/>
  <c r="Q697" i="2"/>
  <c r="N697" i="2"/>
  <c r="J697" i="2"/>
  <c r="K697" i="2"/>
  <c r="U697" i="2"/>
  <c r="E697" i="2"/>
  <c r="P697" i="2"/>
  <c r="AC697" i="2"/>
  <c r="O697" i="2"/>
  <c r="L697" i="2"/>
  <c r="I697" i="2"/>
  <c r="W697" i="2"/>
  <c r="F697" i="2"/>
  <c r="Y697" i="2"/>
  <c r="P135" i="2" l="1"/>
  <c r="L135" i="2"/>
  <c r="H135" i="2"/>
  <c r="O135" i="2"/>
  <c r="K135" i="2"/>
  <c r="G135" i="2"/>
  <c r="I135" i="2"/>
  <c r="D135" i="2"/>
  <c r="N135" i="2"/>
  <c r="J135" i="2"/>
  <c r="F135" i="2"/>
  <c r="M135" i="2"/>
  <c r="E135" i="2"/>
  <c r="J336" i="2"/>
  <c r="I337" i="2" s="1"/>
  <c r="I534" i="2" s="1"/>
  <c r="F332" i="2"/>
  <c r="E333" i="2" s="1"/>
  <c r="E530" i="2" s="1"/>
  <c r="M339" i="2"/>
  <c r="L340" i="2" s="1"/>
  <c r="L537" i="2" s="1"/>
  <c r="L338" i="2"/>
  <c r="I335" i="2"/>
  <c r="H336" i="2" s="1"/>
  <c r="H533" i="2" s="1"/>
  <c r="H334" i="2"/>
  <c r="G335" i="2" s="1"/>
  <c r="G532" i="2" s="1"/>
  <c r="E528" i="2"/>
  <c r="Q343" i="2"/>
  <c r="J338" i="2"/>
  <c r="J535" i="2" s="1"/>
  <c r="K534" i="2"/>
  <c r="G333" i="2"/>
  <c r="O341" i="2"/>
  <c r="P341" i="2" s="1"/>
  <c r="P342" i="2"/>
  <c r="I287" i="2"/>
  <c r="F284" i="2"/>
  <c r="I191" i="2"/>
  <c r="G189" i="2"/>
  <c r="E187" i="2"/>
  <c r="G285" i="2"/>
  <c r="H286" i="2"/>
  <c r="E283" i="2"/>
  <c r="J288" i="2"/>
  <c r="R697" i="2"/>
  <c r="X697" i="2"/>
  <c r="Z697" i="2"/>
  <c r="AB697" i="2"/>
  <c r="T697" i="2"/>
  <c r="V697" i="2"/>
  <c r="Q199" i="2"/>
  <c r="M536" i="2" l="1"/>
  <c r="N339" i="2"/>
  <c r="N536" i="2" s="1"/>
  <c r="J533" i="2"/>
  <c r="K336" i="2"/>
  <c r="I338" i="2" s="1"/>
  <c r="I535" i="2" s="1"/>
  <c r="N340" i="2"/>
  <c r="M341" i="2" s="1"/>
  <c r="M538" i="2" s="1"/>
  <c r="L337" i="2"/>
  <c r="L534" i="2" s="1"/>
  <c r="F331" i="2"/>
  <c r="G332" i="2"/>
  <c r="G529" i="2" s="1"/>
  <c r="I532" i="2"/>
  <c r="I334" i="2"/>
  <c r="G336" i="2" s="1"/>
  <c r="G533" i="2" s="1"/>
  <c r="F529" i="2"/>
  <c r="H531" i="2"/>
  <c r="J335" i="2"/>
  <c r="J532" i="2" s="1"/>
  <c r="P344" i="2"/>
  <c r="P541" i="2" s="1"/>
  <c r="Q540" i="2"/>
  <c r="N343" i="2"/>
  <c r="N540" i="2" s="1"/>
  <c r="P538" i="2"/>
  <c r="O343" i="2"/>
  <c r="O540" i="2" s="1"/>
  <c r="P539" i="2"/>
  <c r="Q341" i="2"/>
  <c r="Q342" i="2"/>
  <c r="N342" i="2"/>
  <c r="N539" i="2" s="1"/>
  <c r="O538" i="2"/>
  <c r="F334" i="2"/>
  <c r="F531" i="2" s="1"/>
  <c r="G530" i="2"/>
  <c r="H333" i="2"/>
  <c r="K339" i="2"/>
  <c r="K536" i="2" s="1"/>
  <c r="L535" i="2"/>
  <c r="M338" i="2"/>
  <c r="K145" i="2"/>
  <c r="H142" i="2"/>
  <c r="F140" i="2"/>
  <c r="Q151" i="2"/>
  <c r="M147" i="2"/>
  <c r="F283" i="2"/>
  <c r="D285" i="2" s="1"/>
  <c r="H192" i="2"/>
  <c r="F190" i="2"/>
  <c r="D188" i="2"/>
  <c r="G284" i="2"/>
  <c r="E286" i="2" s="1"/>
  <c r="O197" i="2"/>
  <c r="J192" i="2"/>
  <c r="J191" i="2"/>
  <c r="N196" i="2"/>
  <c r="H190" i="2"/>
  <c r="H189" i="2"/>
  <c r="K193" i="2"/>
  <c r="P198" i="2"/>
  <c r="F188" i="2"/>
  <c r="F187" i="2"/>
  <c r="L194" i="2"/>
  <c r="M195" i="2"/>
  <c r="K289" i="2"/>
  <c r="L289" i="2" s="1"/>
  <c r="H285" i="2"/>
  <c r="I285" i="2" s="1"/>
  <c r="J285" i="2" s="1"/>
  <c r="K288" i="2"/>
  <c r="I290" i="2" s="1"/>
  <c r="I286" i="2"/>
  <c r="J286" i="2" s="1"/>
  <c r="K286" i="2" s="1"/>
  <c r="L286" i="2" s="1"/>
  <c r="M286" i="2" s="1"/>
  <c r="J287" i="2"/>
  <c r="K287" i="2" s="1"/>
  <c r="H290" i="2" s="1"/>
  <c r="G287" i="2"/>
  <c r="H288" i="2"/>
  <c r="F286" i="2"/>
  <c r="E285" i="2"/>
  <c r="I289" i="2"/>
  <c r="D284" i="2"/>
  <c r="N292" i="2"/>
  <c r="O292" i="2" s="1"/>
  <c r="Q295" i="2"/>
  <c r="O293" i="2"/>
  <c r="P293" i="2" s="1"/>
  <c r="M291" i="2"/>
  <c r="P294" i="2"/>
  <c r="Q294" i="2" s="1"/>
  <c r="L290" i="2"/>
  <c r="F485" i="2"/>
  <c r="J144" i="2"/>
  <c r="G141" i="2"/>
  <c r="E139" i="2"/>
  <c r="O149" i="2"/>
  <c r="I143" i="2"/>
  <c r="L146" i="2" l="1"/>
  <c r="K147" i="2" s="1"/>
  <c r="P150" i="2"/>
  <c r="P363" i="2" s="1"/>
  <c r="N148" i="2"/>
  <c r="M149" i="2" s="1"/>
  <c r="L336" i="2"/>
  <c r="M336" i="2" s="1"/>
  <c r="M533" i="2" s="1"/>
  <c r="O340" i="2"/>
  <c r="O537" i="2" s="1"/>
  <c r="N537" i="2"/>
  <c r="K533" i="2"/>
  <c r="L341" i="2"/>
  <c r="L538" i="2" s="1"/>
  <c r="O339" i="2"/>
  <c r="P339" i="2" s="1"/>
  <c r="M337" i="2"/>
  <c r="N337" i="2" s="1"/>
  <c r="J339" i="2"/>
  <c r="J536" i="2" s="1"/>
  <c r="E334" i="2"/>
  <c r="E531" i="2" s="1"/>
  <c r="F528" i="2"/>
  <c r="D333" i="2"/>
  <c r="D530" i="2" s="1"/>
  <c r="G331" i="2"/>
  <c r="H332" i="2"/>
  <c r="H529" i="2" s="1"/>
  <c r="H337" i="2"/>
  <c r="H534" i="2" s="1"/>
  <c r="K335" i="2"/>
  <c r="L335" i="2" s="1"/>
  <c r="J334" i="2"/>
  <c r="K334" i="2" s="1"/>
  <c r="L334" i="2" s="1"/>
  <c r="I531" i="2"/>
  <c r="N195" i="2"/>
  <c r="O195" i="2" s="1"/>
  <c r="Q198" i="2"/>
  <c r="O200" i="2" s="1"/>
  <c r="O409" i="2" s="1"/>
  <c r="O196" i="2"/>
  <c r="P196" i="2" s="1"/>
  <c r="O344" i="2"/>
  <c r="O541" i="2" s="1"/>
  <c r="Q539" i="2"/>
  <c r="L193" i="2"/>
  <c r="J195" i="2" s="1"/>
  <c r="K340" i="2"/>
  <c r="K537" i="2" s="1"/>
  <c r="M535" i="2"/>
  <c r="N338" i="2"/>
  <c r="F335" i="2"/>
  <c r="F532" i="2" s="1"/>
  <c r="H530" i="2"/>
  <c r="I333" i="2"/>
  <c r="N344" i="2"/>
  <c r="N541" i="2" s="1"/>
  <c r="Q538" i="2"/>
  <c r="F139" i="2"/>
  <c r="G283" i="2"/>
  <c r="D286" i="2" s="1"/>
  <c r="M360" i="2"/>
  <c r="E352" i="2"/>
  <c r="G354" i="2"/>
  <c r="J357" i="2"/>
  <c r="H355" i="2"/>
  <c r="O362" i="2"/>
  <c r="K358" i="2"/>
  <c r="I356" i="2"/>
  <c r="F353" i="2"/>
  <c r="Q364" i="2"/>
  <c r="G288" i="2"/>
  <c r="K191" i="2"/>
  <c r="H284" i="2"/>
  <c r="I284" i="2" s="1"/>
  <c r="J290" i="2"/>
  <c r="K192" i="2"/>
  <c r="K195" i="2"/>
  <c r="L196" i="2"/>
  <c r="G191" i="2"/>
  <c r="I190" i="2"/>
  <c r="O199" i="2"/>
  <c r="M194" i="2"/>
  <c r="P200" i="2"/>
  <c r="P409" i="2" s="1"/>
  <c r="M197" i="2"/>
  <c r="N198" i="2"/>
  <c r="P197" i="2"/>
  <c r="J194" i="2"/>
  <c r="I193" i="2"/>
  <c r="H193" i="2"/>
  <c r="H400" i="2"/>
  <c r="F191" i="2"/>
  <c r="I189" i="2"/>
  <c r="F398" i="2"/>
  <c r="E189" i="2"/>
  <c r="G188" i="2"/>
  <c r="D189" i="2"/>
  <c r="G187" i="2"/>
  <c r="L288" i="2"/>
  <c r="I291" i="2" s="1"/>
  <c r="L287" i="2"/>
  <c r="M287" i="2" s="1"/>
  <c r="G289" i="2"/>
  <c r="F287" i="2"/>
  <c r="F288" i="2"/>
  <c r="H289" i="2"/>
  <c r="P292" i="2"/>
  <c r="Q292" i="2" s="1"/>
  <c r="M296" i="2" s="1"/>
  <c r="M497" i="2" s="1"/>
  <c r="K291" i="2"/>
  <c r="L292" i="2"/>
  <c r="N294" i="2"/>
  <c r="O295" i="2"/>
  <c r="M290" i="2"/>
  <c r="K292" i="2" s="1"/>
  <c r="N291" i="2"/>
  <c r="O291" i="2" s="1"/>
  <c r="P296" i="2"/>
  <c r="P497" i="2" s="1"/>
  <c r="M293" i="2"/>
  <c r="O296" i="2"/>
  <c r="O497" i="2" s="1"/>
  <c r="N295" i="2"/>
  <c r="Q293" i="2"/>
  <c r="M294" i="2"/>
  <c r="J291" i="2"/>
  <c r="M289" i="2"/>
  <c r="G292" i="2"/>
  <c r="N286" i="2"/>
  <c r="G291" i="2"/>
  <c r="G290" i="2"/>
  <c r="F289" i="2"/>
  <c r="K285" i="2"/>
  <c r="I487" i="2"/>
  <c r="J489" i="2"/>
  <c r="K490" i="2"/>
  <c r="E484" i="2"/>
  <c r="L491" i="2"/>
  <c r="P495" i="2"/>
  <c r="I488" i="2"/>
  <c r="G486" i="2"/>
  <c r="G485" i="2"/>
  <c r="L490" i="2"/>
  <c r="J488" i="2"/>
  <c r="H486" i="2"/>
  <c r="M492" i="2"/>
  <c r="N493" i="2"/>
  <c r="Q496" i="2"/>
  <c r="H487" i="2"/>
  <c r="K489" i="2"/>
  <c r="O494" i="2"/>
  <c r="J146" i="2"/>
  <c r="F142" i="2"/>
  <c r="P152" i="2"/>
  <c r="E141" i="2"/>
  <c r="N150" i="2"/>
  <c r="G143" i="2"/>
  <c r="L145" i="2"/>
  <c r="I142" i="2"/>
  <c r="E698" i="2"/>
  <c r="F698" i="2" s="1"/>
  <c r="G698" i="2" s="1"/>
  <c r="G140" i="2"/>
  <c r="H141" i="2"/>
  <c r="D140" i="2"/>
  <c r="D353" i="2" s="1"/>
  <c r="N147" i="2"/>
  <c r="L148" i="2"/>
  <c r="J143" i="2"/>
  <c r="H144" i="2"/>
  <c r="K144" i="2"/>
  <c r="L144" i="2" s="1"/>
  <c r="I145" i="2"/>
  <c r="P149" i="2"/>
  <c r="M342" i="2" l="1"/>
  <c r="M539" i="2" s="1"/>
  <c r="I340" i="2"/>
  <c r="I537" i="2" s="1"/>
  <c r="L359" i="2"/>
  <c r="O148" i="2"/>
  <c r="P148" i="2" s="1"/>
  <c r="M146" i="2"/>
  <c r="N146" i="2" s="1"/>
  <c r="N361" i="2"/>
  <c r="L533" i="2"/>
  <c r="N336" i="2"/>
  <c r="O336" i="2" s="1"/>
  <c r="O151" i="2"/>
  <c r="O364" i="2" s="1"/>
  <c r="Q150" i="2"/>
  <c r="Q363" i="2" s="1"/>
  <c r="I339" i="2"/>
  <c r="I536" i="2" s="1"/>
  <c r="O536" i="2"/>
  <c r="P340" i="2"/>
  <c r="Q340" i="2" s="1"/>
  <c r="L342" i="2"/>
  <c r="L539" i="2" s="1"/>
  <c r="M534" i="2"/>
  <c r="J340" i="2"/>
  <c r="J537" i="2" s="1"/>
  <c r="D334" i="2"/>
  <c r="D531" i="2" s="1"/>
  <c r="G528" i="2"/>
  <c r="H331" i="2"/>
  <c r="E335" i="2"/>
  <c r="E532" i="2" s="1"/>
  <c r="K531" i="2"/>
  <c r="I332" i="2"/>
  <c r="J332" i="2" s="1"/>
  <c r="G338" i="2"/>
  <c r="G535" i="2" s="1"/>
  <c r="H338" i="2"/>
  <c r="H535" i="2" s="1"/>
  <c r="K532" i="2"/>
  <c r="G337" i="2"/>
  <c r="G534" i="2" s="1"/>
  <c r="J531" i="2"/>
  <c r="L197" i="2"/>
  <c r="M193" i="2"/>
  <c r="J196" i="2" s="1"/>
  <c r="M198" i="2"/>
  <c r="F336" i="2"/>
  <c r="F533" i="2" s="1"/>
  <c r="I530" i="2"/>
  <c r="J333" i="2"/>
  <c r="L343" i="2"/>
  <c r="L540" i="2" s="1"/>
  <c r="P536" i="2"/>
  <c r="Q339" i="2"/>
  <c r="H339" i="2"/>
  <c r="H536" i="2" s="1"/>
  <c r="L532" i="2"/>
  <c r="M335" i="2"/>
  <c r="N199" i="2"/>
  <c r="G339" i="2"/>
  <c r="G536" i="2" s="1"/>
  <c r="L531" i="2"/>
  <c r="M334" i="2"/>
  <c r="K341" i="2"/>
  <c r="K538" i="2" s="1"/>
  <c r="N535" i="2"/>
  <c r="O338" i="2"/>
  <c r="J341" i="2"/>
  <c r="J538" i="2" s="1"/>
  <c r="N534" i="2"/>
  <c r="O337" i="2"/>
  <c r="H283" i="2"/>
  <c r="I283" i="2" s="1"/>
  <c r="D288" i="2" s="1"/>
  <c r="J356" i="2"/>
  <c r="N363" i="2"/>
  <c r="L361" i="2"/>
  <c r="H354" i="2"/>
  <c r="I355" i="2"/>
  <c r="E354" i="2"/>
  <c r="M362" i="2"/>
  <c r="F352" i="2"/>
  <c r="F355" i="2"/>
  <c r="I358" i="2"/>
  <c r="N360" i="2"/>
  <c r="L358" i="2"/>
  <c r="K360" i="2"/>
  <c r="J359" i="2"/>
  <c r="P362" i="2"/>
  <c r="G353" i="2"/>
  <c r="K357" i="2"/>
  <c r="H357" i="2"/>
  <c r="G356" i="2"/>
  <c r="P365" i="2"/>
  <c r="K196" i="2"/>
  <c r="L191" i="2"/>
  <c r="E287" i="2"/>
  <c r="H194" i="2"/>
  <c r="I194" i="2"/>
  <c r="L192" i="2"/>
  <c r="Q197" i="2"/>
  <c r="N194" i="2"/>
  <c r="G192" i="2"/>
  <c r="J190" i="2"/>
  <c r="M199" i="2"/>
  <c r="Q196" i="2"/>
  <c r="L198" i="2"/>
  <c r="P195" i="2"/>
  <c r="F192" i="2"/>
  <c r="J189" i="2"/>
  <c r="E190" i="2"/>
  <c r="H188" i="2"/>
  <c r="D190" i="2"/>
  <c r="H187" i="2"/>
  <c r="M288" i="2"/>
  <c r="N288" i="2" s="1"/>
  <c r="H291" i="2"/>
  <c r="L293" i="2"/>
  <c r="M295" i="2"/>
  <c r="N290" i="2"/>
  <c r="N491" i="2" s="1"/>
  <c r="N296" i="2"/>
  <c r="N497" i="2" s="1"/>
  <c r="L294" i="2"/>
  <c r="P291" i="2"/>
  <c r="J292" i="2"/>
  <c r="N289" i="2"/>
  <c r="H292" i="2"/>
  <c r="N287" i="2"/>
  <c r="G293" i="2"/>
  <c r="O286" i="2"/>
  <c r="F290" i="2"/>
  <c r="L285" i="2"/>
  <c r="F291" i="2" s="1"/>
  <c r="F492" i="2" s="1"/>
  <c r="E288" i="2"/>
  <c r="E489" i="2" s="1"/>
  <c r="J284" i="2"/>
  <c r="J485" i="2" s="1"/>
  <c r="E486" i="2"/>
  <c r="N496" i="2"/>
  <c r="L493" i="2"/>
  <c r="M494" i="2"/>
  <c r="K492" i="2"/>
  <c r="O496" i="2"/>
  <c r="Q495" i="2"/>
  <c r="O493" i="2"/>
  <c r="G488" i="2"/>
  <c r="D485" i="2"/>
  <c r="K493" i="2"/>
  <c r="N492" i="2"/>
  <c r="H698" i="2"/>
  <c r="I698" i="2" s="1"/>
  <c r="J698" i="2" s="1"/>
  <c r="P494" i="2"/>
  <c r="N495" i="2"/>
  <c r="M495" i="2"/>
  <c r="M491" i="2"/>
  <c r="Q494" i="2"/>
  <c r="H489" i="2"/>
  <c r="F484" i="2"/>
  <c r="J491" i="2"/>
  <c r="F487" i="2"/>
  <c r="I490" i="2"/>
  <c r="P493" i="2"/>
  <c r="I486" i="2"/>
  <c r="E142" i="2"/>
  <c r="F143" i="2"/>
  <c r="G144" i="2"/>
  <c r="J147" i="2"/>
  <c r="M145" i="2"/>
  <c r="J142" i="2"/>
  <c r="I141" i="2"/>
  <c r="H140" i="2"/>
  <c r="K143" i="2"/>
  <c r="H145" i="2"/>
  <c r="N151" i="2"/>
  <c r="Q149" i="2"/>
  <c r="D141" i="2"/>
  <c r="D354" i="2" s="1"/>
  <c r="G139" i="2"/>
  <c r="H139" i="2" s="1"/>
  <c r="L149" i="2"/>
  <c r="O147" i="2"/>
  <c r="I146" i="2"/>
  <c r="N533" i="2" l="1"/>
  <c r="O361" i="2"/>
  <c r="M150" i="2"/>
  <c r="M363" i="2" s="1"/>
  <c r="I341" i="2"/>
  <c r="I538" i="2" s="1"/>
  <c r="M359" i="2"/>
  <c r="O152" i="2"/>
  <c r="O365" i="2" s="1"/>
  <c r="K148" i="2"/>
  <c r="K361" i="2" s="1"/>
  <c r="M343" i="2"/>
  <c r="M540" i="2" s="1"/>
  <c r="P537" i="2"/>
  <c r="I529" i="2"/>
  <c r="E336" i="2"/>
  <c r="E533" i="2" s="1"/>
  <c r="I331" i="2"/>
  <c r="D335" i="2"/>
  <c r="D532" i="2" s="1"/>
  <c r="H528" i="2"/>
  <c r="N193" i="2"/>
  <c r="O193" i="2" s="1"/>
  <c r="J198" i="2" s="1"/>
  <c r="G340" i="2"/>
  <c r="G537" i="2" s="1"/>
  <c r="M531" i="2"/>
  <c r="N334" i="2"/>
  <c r="J342" i="2"/>
  <c r="J539" i="2" s="1"/>
  <c r="O534" i="2"/>
  <c r="P337" i="2"/>
  <c r="M344" i="2"/>
  <c r="M541" i="2" s="1"/>
  <c r="Q537" i="2"/>
  <c r="I342" i="2"/>
  <c r="I539" i="2" s="1"/>
  <c r="O533" i="2"/>
  <c r="P336" i="2"/>
  <c r="E337" i="2"/>
  <c r="E534" i="2" s="1"/>
  <c r="J529" i="2"/>
  <c r="K332" i="2"/>
  <c r="F337" i="2"/>
  <c r="F534" i="2" s="1"/>
  <c r="J530" i="2"/>
  <c r="K333" i="2"/>
  <c r="H195" i="2"/>
  <c r="K342" i="2"/>
  <c r="K539" i="2" s="1"/>
  <c r="O535" i="2"/>
  <c r="P338" i="2"/>
  <c r="H340" i="2"/>
  <c r="H537" i="2" s="1"/>
  <c r="M532" i="2"/>
  <c r="N335" i="2"/>
  <c r="L344" i="2"/>
  <c r="L541" i="2" s="1"/>
  <c r="Q536" i="2"/>
  <c r="D287" i="2"/>
  <c r="I292" i="2"/>
  <c r="P361" i="2"/>
  <c r="J148" i="2"/>
  <c r="M358" i="2"/>
  <c r="I359" i="2"/>
  <c r="N364" i="2"/>
  <c r="N359" i="2"/>
  <c r="Q362" i="2"/>
  <c r="F356" i="2"/>
  <c r="G352" i="2"/>
  <c r="H358" i="2"/>
  <c r="I354" i="2"/>
  <c r="J360" i="2"/>
  <c r="E355" i="2"/>
  <c r="L357" i="2"/>
  <c r="H353" i="2"/>
  <c r="O360" i="2"/>
  <c r="L362" i="2"/>
  <c r="K356" i="2"/>
  <c r="J355" i="2"/>
  <c r="G357" i="2"/>
  <c r="L404" i="2"/>
  <c r="M191" i="2"/>
  <c r="M192" i="2"/>
  <c r="I195" i="2"/>
  <c r="K190" i="2"/>
  <c r="G193" i="2"/>
  <c r="J402" i="2"/>
  <c r="O194" i="2"/>
  <c r="K197" i="2"/>
  <c r="N200" i="2"/>
  <c r="N409" i="2" s="1"/>
  <c r="M200" i="2"/>
  <c r="M409" i="2" s="1"/>
  <c r="L199" i="2"/>
  <c r="Q195" i="2"/>
  <c r="F193" i="2"/>
  <c r="K189" i="2"/>
  <c r="E191" i="2"/>
  <c r="I188" i="2"/>
  <c r="D191" i="2"/>
  <c r="I187" i="2"/>
  <c r="J283" i="2"/>
  <c r="K283" i="2" s="1"/>
  <c r="K293" i="2"/>
  <c r="K494" i="2" s="1"/>
  <c r="O290" i="2"/>
  <c r="O491" i="2" s="1"/>
  <c r="L295" i="2"/>
  <c r="Q291" i="2"/>
  <c r="J293" i="2"/>
  <c r="O289" i="2"/>
  <c r="I293" i="2"/>
  <c r="O288" i="2"/>
  <c r="H293" i="2"/>
  <c r="O287" i="2"/>
  <c r="G294" i="2"/>
  <c r="P286" i="2"/>
  <c r="M285" i="2"/>
  <c r="E289" i="2"/>
  <c r="K284" i="2"/>
  <c r="N145" i="2"/>
  <c r="L487" i="2"/>
  <c r="K487" i="2"/>
  <c r="G489" i="2"/>
  <c r="G484" i="2"/>
  <c r="M490" i="2"/>
  <c r="M496" i="2"/>
  <c r="L494" i="2"/>
  <c r="L489" i="2"/>
  <c r="K488" i="2"/>
  <c r="F488" i="2"/>
  <c r="H485" i="2"/>
  <c r="I485" i="2"/>
  <c r="H490" i="2"/>
  <c r="J487" i="2"/>
  <c r="E487" i="2"/>
  <c r="E488" i="2"/>
  <c r="O492" i="2"/>
  <c r="D486" i="2"/>
  <c r="G491" i="2"/>
  <c r="J492" i="2"/>
  <c r="Q493" i="2"/>
  <c r="I491" i="2"/>
  <c r="G490" i="2"/>
  <c r="N152" i="2"/>
  <c r="K142" i="2"/>
  <c r="E143" i="2"/>
  <c r="F144" i="2"/>
  <c r="O146" i="2"/>
  <c r="G145" i="2"/>
  <c r="K149" i="2"/>
  <c r="J141" i="2"/>
  <c r="I140" i="2"/>
  <c r="I147" i="2"/>
  <c r="M144" i="2"/>
  <c r="L150" i="2"/>
  <c r="P147" i="2"/>
  <c r="D142" i="2"/>
  <c r="D355" i="2" s="1"/>
  <c r="M151" i="2"/>
  <c r="Q148" i="2"/>
  <c r="H146" i="2"/>
  <c r="L143" i="2"/>
  <c r="J197" i="2" l="1"/>
  <c r="I528" i="2"/>
  <c r="J331" i="2"/>
  <c r="D336" i="2"/>
  <c r="D533" i="2" s="1"/>
  <c r="P193" i="2"/>
  <c r="J199" i="2" s="1"/>
  <c r="H341" i="2"/>
  <c r="H538" i="2" s="1"/>
  <c r="N532" i="2"/>
  <c r="O335" i="2"/>
  <c r="F338" i="2"/>
  <c r="F535" i="2" s="1"/>
  <c r="K530" i="2"/>
  <c r="L333" i="2"/>
  <c r="F339" i="2" s="1"/>
  <c r="F536" i="2" s="1"/>
  <c r="J343" i="2"/>
  <c r="J540" i="2" s="1"/>
  <c r="P534" i="2"/>
  <c r="Q337" i="2"/>
  <c r="G341" i="2"/>
  <c r="G538" i="2" s="1"/>
  <c r="N531" i="2"/>
  <c r="O334" i="2"/>
  <c r="I343" i="2"/>
  <c r="I540" i="2" s="1"/>
  <c r="P533" i="2"/>
  <c r="Q336" i="2"/>
  <c r="K343" i="2"/>
  <c r="K540" i="2" s="1"/>
  <c r="P535" i="2"/>
  <c r="Q338" i="2"/>
  <c r="E338" i="2"/>
  <c r="E535" i="2" s="1"/>
  <c r="K529" i="2"/>
  <c r="L332" i="2"/>
  <c r="M364" i="2"/>
  <c r="J354" i="2"/>
  <c r="F357" i="2"/>
  <c r="L356" i="2"/>
  <c r="H352" i="2"/>
  <c r="M357" i="2"/>
  <c r="K362" i="2"/>
  <c r="E356" i="2"/>
  <c r="J361" i="2"/>
  <c r="L363" i="2"/>
  <c r="H359" i="2"/>
  <c r="I360" i="2"/>
  <c r="G358" i="2"/>
  <c r="L142" i="2"/>
  <c r="G147" i="2" s="1"/>
  <c r="K355" i="2"/>
  <c r="Q361" i="2"/>
  <c r="P360" i="2"/>
  <c r="I353" i="2"/>
  <c r="P146" i="2"/>
  <c r="O359" i="2"/>
  <c r="N365" i="2"/>
  <c r="N358" i="2"/>
  <c r="D289" i="2"/>
  <c r="N191" i="2"/>
  <c r="H196" i="2"/>
  <c r="I196" i="2"/>
  <c r="N192" i="2"/>
  <c r="P194" i="2"/>
  <c r="K198" i="2"/>
  <c r="L190" i="2"/>
  <c r="G194" i="2"/>
  <c r="L200" i="2"/>
  <c r="L409" i="2" s="1"/>
  <c r="P408" i="2"/>
  <c r="F194" i="2"/>
  <c r="L189" i="2"/>
  <c r="F195" i="2" s="1"/>
  <c r="E192" i="2"/>
  <c r="J188" i="2"/>
  <c r="D192" i="2"/>
  <c r="J187" i="2"/>
  <c r="K294" i="2"/>
  <c r="K495" i="2" s="1"/>
  <c r="P290" i="2"/>
  <c r="P491" i="2" s="1"/>
  <c r="L296" i="2"/>
  <c r="L497" i="2" s="1"/>
  <c r="J294" i="2"/>
  <c r="P289" i="2"/>
  <c r="I294" i="2"/>
  <c r="P288" i="2"/>
  <c r="H294" i="2"/>
  <c r="P287" i="2"/>
  <c r="G295" i="2"/>
  <c r="Q286" i="2"/>
  <c r="F292" i="2"/>
  <c r="N285" i="2"/>
  <c r="E290" i="2"/>
  <c r="E491" i="2" s="1"/>
  <c r="L284" i="2"/>
  <c r="L485" i="2" s="1"/>
  <c r="D290" i="2"/>
  <c r="L283" i="2"/>
  <c r="K698" i="2"/>
  <c r="L698" i="2" s="1"/>
  <c r="M698" i="2" s="1"/>
  <c r="J149" i="2"/>
  <c r="O145" i="2"/>
  <c r="P145" i="2" s="1"/>
  <c r="E490" i="2"/>
  <c r="K485" i="2"/>
  <c r="G146" i="2"/>
  <c r="H484" i="2"/>
  <c r="F489" i="2"/>
  <c r="L495" i="2"/>
  <c r="I492" i="2"/>
  <c r="J493" i="2"/>
  <c r="H491" i="2"/>
  <c r="M487" i="2"/>
  <c r="N490" i="2"/>
  <c r="L488" i="2"/>
  <c r="J486" i="2"/>
  <c r="P492" i="2"/>
  <c r="G492" i="2"/>
  <c r="M489" i="2"/>
  <c r="D487" i="2"/>
  <c r="M152" i="2"/>
  <c r="K141" i="2"/>
  <c r="K150" i="2"/>
  <c r="J140" i="2"/>
  <c r="E144" i="2"/>
  <c r="F145" i="2"/>
  <c r="H147" i="2"/>
  <c r="M143" i="2"/>
  <c r="D143" i="2"/>
  <c r="D356" i="2" s="1"/>
  <c r="I139" i="2"/>
  <c r="Q147" i="2"/>
  <c r="L151" i="2"/>
  <c r="N144" i="2"/>
  <c r="I148" i="2"/>
  <c r="Q193" i="2" l="1"/>
  <c r="J200" i="2" s="1"/>
  <c r="J409" i="2" s="1"/>
  <c r="K331" i="2"/>
  <c r="D337" i="2"/>
  <c r="D534" i="2" s="1"/>
  <c r="J528" i="2"/>
  <c r="L530" i="2"/>
  <c r="M333" i="2"/>
  <c r="E339" i="2"/>
  <c r="E536" i="2" s="1"/>
  <c r="L529" i="2"/>
  <c r="M332" i="2"/>
  <c r="K344" i="2"/>
  <c r="K541" i="2" s="1"/>
  <c r="Q535" i="2"/>
  <c r="I344" i="2"/>
  <c r="I541" i="2" s="1"/>
  <c r="Q533" i="2"/>
  <c r="G342" i="2"/>
  <c r="G539" i="2" s="1"/>
  <c r="O531" i="2"/>
  <c r="P334" i="2"/>
  <c r="J344" i="2"/>
  <c r="J541" i="2" s="1"/>
  <c r="Q534" i="2"/>
  <c r="H342" i="2"/>
  <c r="H539" i="2" s="1"/>
  <c r="O532" i="2"/>
  <c r="P335" i="2"/>
  <c r="M142" i="2"/>
  <c r="N142" i="2" s="1"/>
  <c r="P359" i="2"/>
  <c r="Q360" i="2"/>
  <c r="K151" i="2"/>
  <c r="H360" i="2"/>
  <c r="K363" i="2"/>
  <c r="G359" i="2"/>
  <c r="J362" i="2"/>
  <c r="I361" i="2"/>
  <c r="I352" i="2"/>
  <c r="G360" i="2"/>
  <c r="F358" i="2"/>
  <c r="F146" i="2"/>
  <c r="K354" i="2"/>
  <c r="L355" i="2"/>
  <c r="N357" i="2"/>
  <c r="E357" i="2"/>
  <c r="M365" i="2"/>
  <c r="L364" i="2"/>
  <c r="Q146" i="2"/>
  <c r="K152" i="2" s="1"/>
  <c r="M356" i="2"/>
  <c r="E145" i="2"/>
  <c r="J353" i="2"/>
  <c r="O358" i="2"/>
  <c r="O191" i="2"/>
  <c r="H197" i="2"/>
  <c r="N406" i="2"/>
  <c r="O192" i="2"/>
  <c r="I197" i="2"/>
  <c r="K199" i="2"/>
  <c r="Q194" i="2"/>
  <c r="M190" i="2"/>
  <c r="G195" i="2"/>
  <c r="M189" i="2"/>
  <c r="E193" i="2"/>
  <c r="K188" i="2"/>
  <c r="D193" i="2"/>
  <c r="K187" i="2"/>
  <c r="K295" i="2"/>
  <c r="K496" i="2" s="1"/>
  <c r="Q290" i="2"/>
  <c r="Q491" i="2" s="1"/>
  <c r="J295" i="2"/>
  <c r="Q289" i="2"/>
  <c r="I295" i="2"/>
  <c r="Q288" i="2"/>
  <c r="H295" i="2"/>
  <c r="Q287" i="2"/>
  <c r="G296" i="2"/>
  <c r="G497" i="2" s="1"/>
  <c r="F293" i="2"/>
  <c r="O285" i="2"/>
  <c r="E291" i="2"/>
  <c r="E492" i="2" s="1"/>
  <c r="M284" i="2"/>
  <c r="M485" i="2" s="1"/>
  <c r="D291" i="2"/>
  <c r="M283" i="2"/>
  <c r="N698" i="2"/>
  <c r="J150" i="2"/>
  <c r="L141" i="2"/>
  <c r="K140" i="2"/>
  <c r="O490" i="2"/>
  <c r="I484" i="2"/>
  <c r="N487" i="2"/>
  <c r="H492" i="2"/>
  <c r="F490" i="2"/>
  <c r="I493" i="2"/>
  <c r="L496" i="2"/>
  <c r="G493" i="2"/>
  <c r="M488" i="2"/>
  <c r="Q492" i="2"/>
  <c r="J494" i="2"/>
  <c r="D488" i="2"/>
  <c r="N489" i="2"/>
  <c r="K486" i="2"/>
  <c r="L152" i="2"/>
  <c r="D144" i="2"/>
  <c r="D357" i="2" s="1"/>
  <c r="J139" i="2"/>
  <c r="N143" i="2"/>
  <c r="H148" i="2"/>
  <c r="I149" i="2"/>
  <c r="O144" i="2"/>
  <c r="M355" i="2" l="1"/>
  <c r="K528" i="2"/>
  <c r="D338" i="2"/>
  <c r="D535" i="2" s="1"/>
  <c r="L331" i="2"/>
  <c r="F340" i="2"/>
  <c r="F537" i="2" s="1"/>
  <c r="M530" i="2"/>
  <c r="N333" i="2"/>
  <c r="M529" i="2"/>
  <c r="E340" i="2"/>
  <c r="E537" i="2" s="1"/>
  <c r="N332" i="2"/>
  <c r="G343" i="2"/>
  <c r="G540" i="2" s="1"/>
  <c r="P531" i="2"/>
  <c r="Q334" i="2"/>
  <c r="H343" i="2"/>
  <c r="H540" i="2" s="1"/>
  <c r="P532" i="2"/>
  <c r="Q335" i="2"/>
  <c r="G148" i="2"/>
  <c r="G361" i="2" s="1"/>
  <c r="O357" i="2"/>
  <c r="K365" i="2"/>
  <c r="E358" i="2"/>
  <c r="I362" i="2"/>
  <c r="L365" i="2"/>
  <c r="P358" i="2"/>
  <c r="J352" i="2"/>
  <c r="H361" i="2"/>
  <c r="F359" i="2"/>
  <c r="K353" i="2"/>
  <c r="N355" i="2"/>
  <c r="L354" i="2"/>
  <c r="N356" i="2"/>
  <c r="J363" i="2"/>
  <c r="Q359" i="2"/>
  <c r="K364" i="2"/>
  <c r="P191" i="2"/>
  <c r="H198" i="2"/>
  <c r="P192" i="2"/>
  <c r="I198" i="2"/>
  <c r="K200" i="2"/>
  <c r="K409" i="2" s="1"/>
  <c r="N190" i="2"/>
  <c r="G196" i="2"/>
  <c r="F196" i="2"/>
  <c r="N189" i="2"/>
  <c r="E194" i="2"/>
  <c r="L188" i="2"/>
  <c r="D194" i="2"/>
  <c r="L187" i="2"/>
  <c r="K296" i="2"/>
  <c r="K497" i="2" s="1"/>
  <c r="J296" i="2"/>
  <c r="J497" i="2" s="1"/>
  <c r="I296" i="2"/>
  <c r="I497" i="2" s="1"/>
  <c r="H296" i="2"/>
  <c r="H497" i="2" s="1"/>
  <c r="F294" i="2"/>
  <c r="P285" i="2"/>
  <c r="E292" i="2"/>
  <c r="E493" i="2" s="1"/>
  <c r="N284" i="2"/>
  <c r="N485" i="2" s="1"/>
  <c r="D292" i="2"/>
  <c r="N283" i="2"/>
  <c r="Q145" i="2"/>
  <c r="O698" i="2"/>
  <c r="F147" i="2"/>
  <c r="M141" i="2"/>
  <c r="L140" i="2"/>
  <c r="E146" i="2"/>
  <c r="J151" i="2"/>
  <c r="N488" i="2"/>
  <c r="O489" i="2"/>
  <c r="O487" i="2"/>
  <c r="J484" i="2"/>
  <c r="P490" i="2"/>
  <c r="L486" i="2"/>
  <c r="G494" i="2"/>
  <c r="I494" i="2"/>
  <c r="D489" i="2"/>
  <c r="J495" i="2"/>
  <c r="H493" i="2"/>
  <c r="F491" i="2"/>
  <c r="O143" i="2"/>
  <c r="H149" i="2"/>
  <c r="K139" i="2"/>
  <c r="D145" i="2"/>
  <c r="D358" i="2" s="1"/>
  <c r="I150" i="2"/>
  <c r="P144" i="2"/>
  <c r="G149" i="2"/>
  <c r="O142" i="2"/>
  <c r="L528" i="2" l="1"/>
  <c r="D339" i="2"/>
  <c r="D536" i="2" s="1"/>
  <c r="M331" i="2"/>
  <c r="N529" i="2"/>
  <c r="E341" i="2"/>
  <c r="E538" i="2" s="1"/>
  <c r="O332" i="2"/>
  <c r="G344" i="2"/>
  <c r="G541" i="2" s="1"/>
  <c r="Q531" i="2"/>
  <c r="N530" i="2"/>
  <c r="F341" i="2"/>
  <c r="F538" i="2" s="1"/>
  <c r="O333" i="2"/>
  <c r="H344" i="2"/>
  <c r="H541" i="2" s="1"/>
  <c r="Q532" i="2"/>
  <c r="P357" i="2"/>
  <c r="N141" i="2"/>
  <c r="O141" i="2" s="1"/>
  <c r="M354" i="2"/>
  <c r="I363" i="2"/>
  <c r="O356" i="2"/>
  <c r="J364" i="2"/>
  <c r="F360" i="2"/>
  <c r="O355" i="2"/>
  <c r="H362" i="2"/>
  <c r="E359" i="2"/>
  <c r="G362" i="2"/>
  <c r="K352" i="2"/>
  <c r="L353" i="2"/>
  <c r="Q358" i="2"/>
  <c r="Q191" i="2"/>
  <c r="H199" i="2"/>
  <c r="Q192" i="2"/>
  <c r="I199" i="2"/>
  <c r="O190" i="2"/>
  <c r="G197" i="2"/>
  <c r="F197" i="2"/>
  <c r="O189" i="2"/>
  <c r="E195" i="2"/>
  <c r="M188" i="2"/>
  <c r="D195" i="2"/>
  <c r="M187" i="2"/>
  <c r="F295" i="2"/>
  <c r="Q285" i="2"/>
  <c r="E293" i="2"/>
  <c r="E494" i="2" s="1"/>
  <c r="O284" i="2"/>
  <c r="O485" i="2" s="1"/>
  <c r="D293" i="2"/>
  <c r="O283" i="2"/>
  <c r="J152" i="2"/>
  <c r="F148" i="2"/>
  <c r="P698" i="2"/>
  <c r="M140" i="2"/>
  <c r="E147" i="2"/>
  <c r="P489" i="2"/>
  <c r="M486" i="2"/>
  <c r="P487" i="2"/>
  <c r="Q490" i="2"/>
  <c r="O488" i="2"/>
  <c r="K484" i="2"/>
  <c r="G495" i="2"/>
  <c r="J496" i="2"/>
  <c r="D490" i="2"/>
  <c r="I495" i="2"/>
  <c r="H494" i="2"/>
  <c r="I151" i="2"/>
  <c r="Q144" i="2"/>
  <c r="G150" i="2"/>
  <c r="P142" i="2"/>
  <c r="L139" i="2"/>
  <c r="D146" i="2"/>
  <c r="D359" i="2" s="1"/>
  <c r="H150" i="2"/>
  <c r="P143" i="2"/>
  <c r="N331" i="2" l="1"/>
  <c r="M528" i="2"/>
  <c r="D340" i="2"/>
  <c r="D537" i="2" s="1"/>
  <c r="F342" i="2"/>
  <c r="F539" i="2" s="1"/>
  <c r="O530" i="2"/>
  <c r="P333" i="2"/>
  <c r="E342" i="2"/>
  <c r="E539" i="2" s="1"/>
  <c r="O529" i="2"/>
  <c r="P332" i="2"/>
  <c r="F149" i="2"/>
  <c r="F362" i="2" s="1"/>
  <c r="Q357" i="2"/>
  <c r="F361" i="2"/>
  <c r="N354" i="2"/>
  <c r="G363" i="2"/>
  <c r="J365" i="2"/>
  <c r="H363" i="2"/>
  <c r="L352" i="2"/>
  <c r="I364" i="2"/>
  <c r="E360" i="2"/>
  <c r="P356" i="2"/>
  <c r="P355" i="2"/>
  <c r="O354" i="2"/>
  <c r="N140" i="2"/>
  <c r="E149" i="2" s="1"/>
  <c r="M353" i="2"/>
  <c r="H200" i="2"/>
  <c r="H409" i="2" s="1"/>
  <c r="I200" i="2"/>
  <c r="I409" i="2" s="1"/>
  <c r="P190" i="2"/>
  <c r="G198" i="2"/>
  <c r="F198" i="2"/>
  <c r="P189" i="2"/>
  <c r="E196" i="2"/>
  <c r="N188" i="2"/>
  <c r="D196" i="2"/>
  <c r="N187" i="2"/>
  <c r="F296" i="2"/>
  <c r="F497" i="2" s="1"/>
  <c r="E294" i="2"/>
  <c r="E495" i="2" s="1"/>
  <c r="P284" i="2"/>
  <c r="P485" i="2" s="1"/>
  <c r="D294" i="2"/>
  <c r="P283" i="2"/>
  <c r="E148" i="2"/>
  <c r="Q698" i="2"/>
  <c r="R698" i="2" s="1"/>
  <c r="Q489" i="2"/>
  <c r="D491" i="2"/>
  <c r="I496" i="2"/>
  <c r="H495" i="2"/>
  <c r="Q487" i="2"/>
  <c r="N486" i="2"/>
  <c r="G496" i="2"/>
  <c r="F493" i="2"/>
  <c r="L484" i="2"/>
  <c r="P488" i="2"/>
  <c r="I152" i="2"/>
  <c r="Q143" i="2"/>
  <c r="H151" i="2"/>
  <c r="P141" i="2"/>
  <c r="F150" i="2"/>
  <c r="G151" i="2"/>
  <c r="Q142" i="2"/>
  <c r="D147" i="2"/>
  <c r="D360" i="2" s="1"/>
  <c r="M139" i="2"/>
  <c r="D341" i="2" l="1"/>
  <c r="D538" i="2" s="1"/>
  <c r="O331" i="2"/>
  <c r="N528" i="2"/>
  <c r="P530" i="2"/>
  <c r="F343" i="2"/>
  <c r="F540" i="2" s="1"/>
  <c r="Q333" i="2"/>
  <c r="E343" i="2"/>
  <c r="E540" i="2" s="1"/>
  <c r="P529" i="2"/>
  <c r="Q332" i="2"/>
  <c r="O140" i="2"/>
  <c r="P140" i="2" s="1"/>
  <c r="Q355" i="2"/>
  <c r="E362" i="2"/>
  <c r="G364" i="2"/>
  <c r="N353" i="2"/>
  <c r="M352" i="2"/>
  <c r="I365" i="2"/>
  <c r="F363" i="2"/>
  <c r="H364" i="2"/>
  <c r="E361" i="2"/>
  <c r="P354" i="2"/>
  <c r="Q356" i="2"/>
  <c r="Q190" i="2"/>
  <c r="G199" i="2"/>
  <c r="F199" i="2"/>
  <c r="Q189" i="2"/>
  <c r="E197" i="2"/>
  <c r="O188" i="2"/>
  <c r="D197" i="2"/>
  <c r="O187" i="2"/>
  <c r="E295" i="2"/>
  <c r="E496" i="2" s="1"/>
  <c r="Q284" i="2"/>
  <c r="Q485" i="2" s="1"/>
  <c r="D295" i="2"/>
  <c r="Q283" i="2"/>
  <c r="S698" i="2"/>
  <c r="D492" i="2"/>
  <c r="H496" i="2"/>
  <c r="O486" i="2"/>
  <c r="Q488" i="2"/>
  <c r="M484" i="2"/>
  <c r="F494" i="2"/>
  <c r="G152" i="2"/>
  <c r="H152" i="2"/>
  <c r="D148" i="2"/>
  <c r="D361" i="2" s="1"/>
  <c r="N139" i="2"/>
  <c r="F151" i="2"/>
  <c r="Q141" i="2"/>
  <c r="O528" i="2" l="1"/>
  <c r="D342" i="2"/>
  <c r="D539" i="2" s="1"/>
  <c r="P331" i="2"/>
  <c r="Q530" i="2"/>
  <c r="F344" i="2"/>
  <c r="F541" i="2" s="1"/>
  <c r="E344" i="2"/>
  <c r="E541" i="2" s="1"/>
  <c r="Q529" i="2"/>
  <c r="E150" i="2"/>
  <c r="E363" i="2" s="1"/>
  <c r="O353" i="2"/>
  <c r="G365" i="2"/>
  <c r="P353" i="2"/>
  <c r="F364" i="2"/>
  <c r="Q354" i="2"/>
  <c r="N352" i="2"/>
  <c r="H365" i="2"/>
  <c r="G200" i="2"/>
  <c r="G409" i="2" s="1"/>
  <c r="F200" i="2"/>
  <c r="F409" i="2" s="1"/>
  <c r="E198" i="2"/>
  <c r="P188" i="2"/>
  <c r="D198" i="2"/>
  <c r="P187" i="2"/>
  <c r="E296" i="2"/>
  <c r="E497" i="2" s="1"/>
  <c r="D296" i="2"/>
  <c r="D497" i="2" s="1"/>
  <c r="T698" i="2"/>
  <c r="N484" i="2"/>
  <c r="P486" i="2"/>
  <c r="D493" i="2"/>
  <c r="F495" i="2"/>
  <c r="F152" i="2"/>
  <c r="Q140" i="2"/>
  <c r="E151" i="2"/>
  <c r="D149" i="2"/>
  <c r="D362" i="2" s="1"/>
  <c r="O139" i="2"/>
  <c r="D343" i="2" l="1"/>
  <c r="D540" i="2" s="1"/>
  <c r="Q331" i="2"/>
  <c r="P528" i="2"/>
  <c r="F365" i="2"/>
  <c r="E364" i="2"/>
  <c r="Q353" i="2"/>
  <c r="O352" i="2"/>
  <c r="E199" i="2"/>
  <c r="Q188" i="2"/>
  <c r="D199" i="2"/>
  <c r="Q187" i="2"/>
  <c r="U698" i="2"/>
  <c r="Q486" i="2"/>
  <c r="O484" i="2"/>
  <c r="D494" i="2"/>
  <c r="F496" i="2"/>
  <c r="E152" i="2"/>
  <c r="D150" i="2"/>
  <c r="D363" i="2" s="1"/>
  <c r="P139" i="2"/>
  <c r="Q139" i="2" s="1"/>
  <c r="Q528" i="2" l="1"/>
  <c r="D344" i="2"/>
  <c r="D541" i="2" s="1"/>
  <c r="E365" i="2"/>
  <c r="P352" i="2"/>
  <c r="H238" i="2"/>
  <c r="I239" i="2"/>
  <c r="I7" i="11" s="1"/>
  <c r="I24" i="11" s="1"/>
  <c r="N244" i="2"/>
  <c r="L242" i="2"/>
  <c r="L10" i="11" s="1"/>
  <c r="L27" i="11" s="1"/>
  <c r="M243" i="2"/>
  <c r="G237" i="2"/>
  <c r="G5" i="11" s="1"/>
  <c r="G22" i="11" s="1"/>
  <c r="P246" i="2"/>
  <c r="P14" i="11" s="1"/>
  <c r="P31" i="11" s="1"/>
  <c r="Q247" i="2"/>
  <c r="K241" i="2"/>
  <c r="J240" i="2"/>
  <c r="E235" i="2"/>
  <c r="E3" i="11" s="1"/>
  <c r="E20" i="11" s="1"/>
  <c r="F236" i="2"/>
  <c r="O245" i="2"/>
  <c r="E200" i="2"/>
  <c r="E409" i="2" s="1"/>
  <c r="D200" i="2"/>
  <c r="D409" i="2" s="1"/>
  <c r="V698" i="2"/>
  <c r="D495" i="2"/>
  <c r="P484" i="2"/>
  <c r="D151" i="2"/>
  <c r="D364" i="2" s="1"/>
  <c r="C543" i="2" l="1"/>
  <c r="CN628" i="2" s="1"/>
  <c r="H443" i="2"/>
  <c r="H6" i="11"/>
  <c r="H23" i="11" s="1"/>
  <c r="O450" i="2"/>
  <c r="O13" i="11"/>
  <c r="O30" i="11" s="1"/>
  <c r="M448" i="2"/>
  <c r="M11" i="11"/>
  <c r="M28" i="11" s="1"/>
  <c r="Q452" i="2"/>
  <c r="Q15" i="11"/>
  <c r="Q32" i="11" s="1"/>
  <c r="N449" i="2"/>
  <c r="N12" i="11"/>
  <c r="N29" i="11" s="1"/>
  <c r="K446" i="2"/>
  <c r="K9" i="11"/>
  <c r="K26" i="11" s="1"/>
  <c r="F441" i="2"/>
  <c r="F4" i="11"/>
  <c r="F21" i="11" s="1"/>
  <c r="J445" i="2"/>
  <c r="J8" i="11"/>
  <c r="J25" i="11" s="1"/>
  <c r="Q352" i="2"/>
  <c r="I238" i="2"/>
  <c r="F235" i="2"/>
  <c r="E440" i="2"/>
  <c r="Q246" i="2"/>
  <c r="P451" i="2"/>
  <c r="H237" i="2"/>
  <c r="G442" i="2"/>
  <c r="J239" i="2"/>
  <c r="I444" i="2"/>
  <c r="M242" i="2"/>
  <c r="L447" i="2"/>
  <c r="O244" i="2"/>
  <c r="P245" i="2"/>
  <c r="O247" i="2"/>
  <c r="P248" i="2"/>
  <c r="N246" i="2"/>
  <c r="K240" i="2"/>
  <c r="K8" i="11" s="1"/>
  <c r="K25" i="11" s="1"/>
  <c r="G236" i="2"/>
  <c r="G4" i="11" s="1"/>
  <c r="G21" i="11" s="1"/>
  <c r="L244" i="2"/>
  <c r="L241" i="2"/>
  <c r="N243" i="2"/>
  <c r="H240" i="2"/>
  <c r="E237" i="2"/>
  <c r="I241" i="2"/>
  <c r="K243" i="2"/>
  <c r="M245" i="2"/>
  <c r="D236" i="2"/>
  <c r="J242" i="2"/>
  <c r="F238" i="2"/>
  <c r="G239" i="2"/>
  <c r="W698" i="2"/>
  <c r="D496" i="2"/>
  <c r="Q484" i="2"/>
  <c r="D152" i="2"/>
  <c r="D365" i="2" s="1"/>
  <c r="X628" i="2" l="1"/>
  <c r="O628" i="2"/>
  <c r="BQ628" i="2"/>
  <c r="AQ628" i="2"/>
  <c r="G628" i="2"/>
  <c r="AA628" i="2"/>
  <c r="W628" i="2"/>
  <c r="CI628" i="2"/>
  <c r="BY628" i="2"/>
  <c r="BJ628" i="2"/>
  <c r="CD628" i="2"/>
  <c r="BZ628" i="2"/>
  <c r="BM628" i="2"/>
  <c r="AE628" i="2"/>
  <c r="BL628" i="2"/>
  <c r="AY628" i="2"/>
  <c r="AU628" i="2"/>
  <c r="BS628" i="2"/>
  <c r="AI628" i="2"/>
  <c r="AG628" i="2"/>
  <c r="AO628" i="2"/>
  <c r="AM628" i="2"/>
  <c r="E628" i="2"/>
  <c r="AR628" i="2"/>
  <c r="L628" i="2"/>
  <c r="M628" i="2"/>
  <c r="BU628" i="2"/>
  <c r="R628" i="2"/>
  <c r="BA628" i="2"/>
  <c r="AH628" i="2"/>
  <c r="BD628" i="2"/>
  <c r="AP628" i="2"/>
  <c r="CO628" i="2"/>
  <c r="AF628" i="2"/>
  <c r="CF628" i="2"/>
  <c r="BH628" i="2"/>
  <c r="J628" i="2"/>
  <c r="BT628" i="2"/>
  <c r="BE628" i="2"/>
  <c r="CH628" i="2"/>
  <c r="AW628" i="2"/>
  <c r="CK628" i="2"/>
  <c r="BP628" i="2"/>
  <c r="AD628" i="2"/>
  <c r="P628" i="2"/>
  <c r="Y628" i="2"/>
  <c r="BB628" i="2"/>
  <c r="CA628" i="2"/>
  <c r="CJ628" i="2"/>
  <c r="BX628" i="2"/>
  <c r="T628" i="2"/>
  <c r="AB628" i="2"/>
  <c r="CL628" i="2"/>
  <c r="BW628" i="2"/>
  <c r="N628" i="2"/>
  <c r="AS628" i="2"/>
  <c r="CM628" i="2"/>
  <c r="CB628" i="2"/>
  <c r="BO628" i="2"/>
  <c r="BV628" i="2"/>
  <c r="BI628" i="2"/>
  <c r="AJ628" i="2"/>
  <c r="CC628" i="2"/>
  <c r="Q628" i="2"/>
  <c r="V628" i="2"/>
  <c r="AV628" i="2"/>
  <c r="BK628" i="2"/>
  <c r="AL628" i="2"/>
  <c r="AT628" i="2"/>
  <c r="H628" i="2"/>
  <c r="BR628" i="2"/>
  <c r="AC628" i="2"/>
  <c r="I628" i="2"/>
  <c r="AK628" i="2"/>
  <c r="AZ628" i="2"/>
  <c r="Z628" i="2"/>
  <c r="U628" i="2"/>
  <c r="CP628" i="2"/>
  <c r="BF628" i="2"/>
  <c r="K628" i="2"/>
  <c r="F628" i="2"/>
  <c r="BG628" i="2"/>
  <c r="S628" i="2"/>
  <c r="CG628" i="2"/>
  <c r="BN628" i="2"/>
  <c r="AX628" i="2"/>
  <c r="CE628" i="2"/>
  <c r="BC628" i="2"/>
  <c r="D628" i="2"/>
  <c r="AN628" i="2"/>
  <c r="P16" i="11"/>
  <c r="P33" i="11" s="1"/>
  <c r="P453" i="2"/>
  <c r="D441" i="2"/>
  <c r="D4" i="11"/>
  <c r="D21" i="11" s="1"/>
  <c r="I446" i="2"/>
  <c r="I9" i="11"/>
  <c r="I26" i="11" s="1"/>
  <c r="H241" i="2"/>
  <c r="J7" i="11"/>
  <c r="J24" i="11" s="1"/>
  <c r="K448" i="2"/>
  <c r="K11" i="11"/>
  <c r="K28" i="11" s="1"/>
  <c r="O452" i="2"/>
  <c r="O15" i="11"/>
  <c r="O32" i="11" s="1"/>
  <c r="M447" i="2"/>
  <c r="M10" i="11"/>
  <c r="M27" i="11" s="1"/>
  <c r="H442" i="2"/>
  <c r="H5" i="11"/>
  <c r="H22" i="11" s="1"/>
  <c r="F440" i="2"/>
  <c r="F3" i="11"/>
  <c r="F20" i="11" s="1"/>
  <c r="L446" i="2"/>
  <c r="L9" i="11"/>
  <c r="L26" i="11" s="1"/>
  <c r="N451" i="2"/>
  <c r="N14" i="11"/>
  <c r="N31" i="11" s="1"/>
  <c r="Q451" i="2"/>
  <c r="Q14" i="11"/>
  <c r="Q31" i="11" s="1"/>
  <c r="F443" i="2"/>
  <c r="F6" i="11"/>
  <c r="F23" i="11" s="1"/>
  <c r="H445" i="2"/>
  <c r="H8" i="11"/>
  <c r="H25" i="11" s="1"/>
  <c r="J447" i="2"/>
  <c r="J10" i="11"/>
  <c r="J27" i="11" s="1"/>
  <c r="N448" i="2"/>
  <c r="N11" i="11"/>
  <c r="N28" i="11" s="1"/>
  <c r="P450" i="2"/>
  <c r="P13" i="11"/>
  <c r="P30" i="11" s="1"/>
  <c r="I443" i="2"/>
  <c r="I6" i="11"/>
  <c r="I23" i="11" s="1"/>
  <c r="O449" i="2"/>
  <c r="O12" i="11"/>
  <c r="O29" i="11" s="1"/>
  <c r="G444" i="2"/>
  <c r="G7" i="11"/>
  <c r="G24" i="11" s="1"/>
  <c r="M450" i="2"/>
  <c r="M13" i="11"/>
  <c r="M30" i="11" s="1"/>
  <c r="E442" i="2"/>
  <c r="E5" i="11"/>
  <c r="E22" i="11" s="1"/>
  <c r="L449" i="2"/>
  <c r="L12" i="11"/>
  <c r="L29" i="11" s="1"/>
  <c r="C367" i="2"/>
  <c r="G240" i="2"/>
  <c r="I237" i="2"/>
  <c r="N242" i="2"/>
  <c r="G235" i="2"/>
  <c r="D237" i="2"/>
  <c r="J238" i="2"/>
  <c r="F239" i="2"/>
  <c r="K244" i="2"/>
  <c r="H236" i="2"/>
  <c r="G441" i="2"/>
  <c r="K239" i="2"/>
  <c r="K7" i="11" s="1"/>
  <c r="K24" i="11" s="1"/>
  <c r="J444" i="2"/>
  <c r="P244" i="2"/>
  <c r="L240" i="2"/>
  <c r="K445" i="2"/>
  <c r="M246" i="2"/>
  <c r="O248" i="2"/>
  <c r="E238" i="2"/>
  <c r="L245" i="2"/>
  <c r="I242" i="2"/>
  <c r="N247" i="2"/>
  <c r="Q245" i="2"/>
  <c r="Q13" i="11" s="1"/>
  <c r="Q30" i="11" s="1"/>
  <c r="M241" i="2"/>
  <c r="M9" i="11" s="1"/>
  <c r="M26" i="11" s="1"/>
  <c r="J243" i="2"/>
  <c r="O243" i="2"/>
  <c r="X698" i="2"/>
  <c r="C499" i="2"/>
  <c r="O16" i="11" l="1"/>
  <c r="O33" i="11" s="1"/>
  <c r="O453" i="2"/>
  <c r="N452" i="2"/>
  <c r="N15" i="11"/>
  <c r="N32" i="11" s="1"/>
  <c r="P449" i="2"/>
  <c r="P12" i="11"/>
  <c r="P29" i="11" s="1"/>
  <c r="D442" i="2"/>
  <c r="D5" i="11"/>
  <c r="D22" i="11" s="1"/>
  <c r="J448" i="2"/>
  <c r="J11" i="11"/>
  <c r="J28" i="11" s="1"/>
  <c r="I447" i="2"/>
  <c r="I10" i="11"/>
  <c r="I27" i="11" s="1"/>
  <c r="M451" i="2"/>
  <c r="M14" i="11"/>
  <c r="M31" i="11" s="1"/>
  <c r="K449" i="2"/>
  <c r="K12" i="11"/>
  <c r="K29" i="11" s="1"/>
  <c r="G440" i="2"/>
  <c r="G3" i="11"/>
  <c r="G20" i="11" s="1"/>
  <c r="L450" i="2"/>
  <c r="L13" i="11"/>
  <c r="L30" i="11" s="1"/>
  <c r="N447" i="2"/>
  <c r="N10" i="11"/>
  <c r="N27" i="11" s="1"/>
  <c r="O448" i="2"/>
  <c r="O11" i="11"/>
  <c r="O28" i="11" s="1"/>
  <c r="H441" i="2"/>
  <c r="H4" i="11"/>
  <c r="H21" i="11" s="1"/>
  <c r="G445" i="2"/>
  <c r="G8" i="11"/>
  <c r="G25" i="11" s="1"/>
  <c r="F444" i="2"/>
  <c r="F7" i="11"/>
  <c r="F24" i="11" s="1"/>
  <c r="E443" i="2"/>
  <c r="E6" i="11"/>
  <c r="E23" i="11" s="1"/>
  <c r="L445" i="2"/>
  <c r="L8" i="11"/>
  <c r="L25" i="11" s="1"/>
  <c r="J443" i="2"/>
  <c r="J6" i="11"/>
  <c r="J23" i="11" s="1"/>
  <c r="I442" i="2"/>
  <c r="I5" i="11"/>
  <c r="I22" i="11" s="1"/>
  <c r="H446" i="2"/>
  <c r="H9" i="11"/>
  <c r="H26" i="11" s="1"/>
  <c r="O242" i="2"/>
  <c r="J237" i="2"/>
  <c r="F240" i="2"/>
  <c r="K245" i="2"/>
  <c r="H235" i="2"/>
  <c r="D238" i="2"/>
  <c r="I243" i="2"/>
  <c r="K238" i="2"/>
  <c r="G241" i="2"/>
  <c r="M247" i="2"/>
  <c r="E239" i="2"/>
  <c r="Q244" i="2"/>
  <c r="I236" i="2"/>
  <c r="N248" i="2"/>
  <c r="Q450" i="2"/>
  <c r="K444" i="2"/>
  <c r="H242" i="2"/>
  <c r="L239" i="2"/>
  <c r="L7" i="11" s="1"/>
  <c r="L24" i="11" s="1"/>
  <c r="J244" i="2"/>
  <c r="M446" i="2"/>
  <c r="M240" i="2"/>
  <c r="N241" i="2"/>
  <c r="N9" i="11" s="1"/>
  <c r="N26" i="11" s="1"/>
  <c r="P243" i="2"/>
  <c r="L246" i="2"/>
  <c r="Y698" i="2"/>
  <c r="CP619" i="2"/>
  <c r="CL619" i="2"/>
  <c r="CH619" i="2"/>
  <c r="CD619" i="2"/>
  <c r="BZ619" i="2"/>
  <c r="BV619" i="2"/>
  <c r="BR619" i="2"/>
  <c r="BN619" i="2"/>
  <c r="BJ619" i="2"/>
  <c r="BF619" i="2"/>
  <c r="BB619" i="2"/>
  <c r="AX619" i="2"/>
  <c r="AT619" i="2"/>
  <c r="AP619" i="2"/>
  <c r="AL619" i="2"/>
  <c r="AH619" i="2"/>
  <c r="AD619" i="2"/>
  <c r="Z619" i="2"/>
  <c r="V619" i="2"/>
  <c r="R619" i="2"/>
  <c r="N619" i="2"/>
  <c r="J619" i="2"/>
  <c r="F619" i="2"/>
  <c r="CO619" i="2"/>
  <c r="CK619" i="2"/>
  <c r="CG619" i="2"/>
  <c r="CC619" i="2"/>
  <c r="BY619" i="2"/>
  <c r="BU619" i="2"/>
  <c r="BQ619" i="2"/>
  <c r="BM619" i="2"/>
  <c r="BI619" i="2"/>
  <c r="BE619" i="2"/>
  <c r="BA619" i="2"/>
  <c r="AW619" i="2"/>
  <c r="AS619" i="2"/>
  <c r="AO619" i="2"/>
  <c r="AK619" i="2"/>
  <c r="AG619" i="2"/>
  <c r="AC619" i="2"/>
  <c r="Y619" i="2"/>
  <c r="U619" i="2"/>
  <c r="Q619" i="2"/>
  <c r="M619" i="2"/>
  <c r="I619" i="2"/>
  <c r="E619" i="2"/>
  <c r="CN619" i="2"/>
  <c r="CJ619" i="2"/>
  <c r="CF619" i="2"/>
  <c r="CB619" i="2"/>
  <c r="BX619" i="2"/>
  <c r="BT619" i="2"/>
  <c r="BP619" i="2"/>
  <c r="BL619" i="2"/>
  <c r="BH619" i="2"/>
  <c r="BD619" i="2"/>
  <c r="AZ619" i="2"/>
  <c r="AV619" i="2"/>
  <c r="AR619" i="2"/>
  <c r="AN619" i="2"/>
  <c r="AJ619" i="2"/>
  <c r="AF619" i="2"/>
  <c r="AB619" i="2"/>
  <c r="X619" i="2"/>
  <c r="T619" i="2"/>
  <c r="P619" i="2"/>
  <c r="L619" i="2"/>
  <c r="H619" i="2"/>
  <c r="D619" i="2"/>
  <c r="CE619" i="2"/>
  <c r="BO619" i="2"/>
  <c r="AY619" i="2"/>
  <c r="AI619" i="2"/>
  <c r="S619" i="2"/>
  <c r="CA619" i="2"/>
  <c r="BK619" i="2"/>
  <c r="AU619" i="2"/>
  <c r="AE619" i="2"/>
  <c r="O619" i="2"/>
  <c r="CM619" i="2"/>
  <c r="BW619" i="2"/>
  <c r="BG619" i="2"/>
  <c r="AQ619" i="2"/>
  <c r="AA619" i="2"/>
  <c r="K619" i="2"/>
  <c r="CI619" i="2"/>
  <c r="BS619" i="2"/>
  <c r="BC619" i="2"/>
  <c r="AM619" i="2"/>
  <c r="W619" i="2"/>
  <c r="G619" i="2"/>
  <c r="G592" i="2"/>
  <c r="K592" i="2"/>
  <c r="O592" i="2"/>
  <c r="S592" i="2"/>
  <c r="W592" i="2"/>
  <c r="AA592" i="2"/>
  <c r="AE592" i="2"/>
  <c r="AI592" i="2"/>
  <c r="AM592" i="2"/>
  <c r="AQ592" i="2"/>
  <c r="AU592" i="2"/>
  <c r="AY592" i="2"/>
  <c r="BC592" i="2"/>
  <c r="BG592" i="2"/>
  <c r="BK592" i="2"/>
  <c r="BO592" i="2"/>
  <c r="BS592" i="2"/>
  <c r="BW592" i="2"/>
  <c r="CA592" i="2"/>
  <c r="CE592" i="2"/>
  <c r="CI592" i="2"/>
  <c r="CM592" i="2"/>
  <c r="D592" i="2"/>
  <c r="H592" i="2"/>
  <c r="L592" i="2"/>
  <c r="P592" i="2"/>
  <c r="T592" i="2"/>
  <c r="X592" i="2"/>
  <c r="AB592" i="2"/>
  <c r="AF592" i="2"/>
  <c r="AJ592" i="2"/>
  <c r="AN592" i="2"/>
  <c r="AR592" i="2"/>
  <c r="AV592" i="2"/>
  <c r="AZ592" i="2"/>
  <c r="BD592" i="2"/>
  <c r="BH592" i="2"/>
  <c r="BL592" i="2"/>
  <c r="BP592" i="2"/>
  <c r="BT592" i="2"/>
  <c r="BX592" i="2"/>
  <c r="CB592" i="2"/>
  <c r="CF592" i="2"/>
  <c r="CJ592" i="2"/>
  <c r="CN592" i="2"/>
  <c r="E592" i="2"/>
  <c r="I592" i="2"/>
  <c r="M592" i="2"/>
  <c r="Q592" i="2"/>
  <c r="U592" i="2"/>
  <c r="Y592" i="2"/>
  <c r="AC592" i="2"/>
  <c r="AG592" i="2"/>
  <c r="AK592" i="2"/>
  <c r="AO592" i="2"/>
  <c r="AS592" i="2"/>
  <c r="AW592" i="2"/>
  <c r="BA592" i="2"/>
  <c r="BE592" i="2"/>
  <c r="BI592" i="2"/>
  <c r="BM592" i="2"/>
  <c r="BQ592" i="2"/>
  <c r="BU592" i="2"/>
  <c r="BY592" i="2"/>
  <c r="CC592" i="2"/>
  <c r="CG592" i="2"/>
  <c r="CK592" i="2"/>
  <c r="CO592" i="2"/>
  <c r="F592" i="2"/>
  <c r="J592" i="2"/>
  <c r="N592" i="2"/>
  <c r="R592" i="2"/>
  <c r="V592" i="2"/>
  <c r="Z592" i="2"/>
  <c r="AD592" i="2"/>
  <c r="AH592" i="2"/>
  <c r="AL592" i="2"/>
  <c r="AP592" i="2"/>
  <c r="AT592" i="2"/>
  <c r="AX592" i="2"/>
  <c r="BB592" i="2"/>
  <c r="BF592" i="2"/>
  <c r="BJ592" i="2"/>
  <c r="BN592" i="2"/>
  <c r="BR592" i="2"/>
  <c r="BV592" i="2"/>
  <c r="BZ592" i="2"/>
  <c r="CD592" i="2"/>
  <c r="CH592" i="2"/>
  <c r="CL592" i="2"/>
  <c r="CP592" i="2"/>
  <c r="N16" i="11" l="1"/>
  <c r="N33" i="11" s="1"/>
  <c r="N453" i="2"/>
  <c r="J449" i="2"/>
  <c r="J12" i="11"/>
  <c r="J29" i="11" s="1"/>
  <c r="I448" i="2"/>
  <c r="I11" i="11"/>
  <c r="I28" i="11" s="1"/>
  <c r="F445" i="2"/>
  <c r="F8" i="11"/>
  <c r="F25" i="11" s="1"/>
  <c r="M452" i="2"/>
  <c r="M15" i="11"/>
  <c r="M32" i="11" s="1"/>
  <c r="D443" i="2"/>
  <c r="D6" i="11"/>
  <c r="D23" i="11" s="1"/>
  <c r="J442" i="2"/>
  <c r="J5" i="11"/>
  <c r="J22" i="11" s="1"/>
  <c r="P448" i="2"/>
  <c r="P11" i="11"/>
  <c r="P28" i="11" s="1"/>
  <c r="E444" i="2"/>
  <c r="E7" i="11"/>
  <c r="E24" i="11" s="1"/>
  <c r="M445" i="2"/>
  <c r="M8" i="11"/>
  <c r="M25" i="11" s="1"/>
  <c r="H447" i="2"/>
  <c r="H10" i="11"/>
  <c r="H27" i="11" s="1"/>
  <c r="E240" i="2"/>
  <c r="I4" i="11"/>
  <c r="I21" i="11" s="1"/>
  <c r="G446" i="2"/>
  <c r="G9" i="11"/>
  <c r="G26" i="11" s="1"/>
  <c r="H440" i="2"/>
  <c r="H3" i="11"/>
  <c r="H20" i="11" s="1"/>
  <c r="O447" i="2"/>
  <c r="O10" i="11"/>
  <c r="O27" i="11" s="1"/>
  <c r="L451" i="2"/>
  <c r="L14" i="11"/>
  <c r="L31" i="11" s="1"/>
  <c r="Q449" i="2"/>
  <c r="Q12" i="11"/>
  <c r="Q29" i="11" s="1"/>
  <c r="K443" i="2"/>
  <c r="K6" i="11"/>
  <c r="K23" i="11" s="1"/>
  <c r="K450" i="2"/>
  <c r="K13" i="11"/>
  <c r="K30" i="11" s="1"/>
  <c r="K246" i="2"/>
  <c r="K237" i="2"/>
  <c r="F242" i="2" s="1"/>
  <c r="P242" i="2"/>
  <c r="D239" i="2"/>
  <c r="F241" i="2"/>
  <c r="I235" i="2"/>
  <c r="G242" i="2"/>
  <c r="N240" i="2"/>
  <c r="L238" i="2"/>
  <c r="I441" i="2"/>
  <c r="M248" i="2"/>
  <c r="I244" i="2"/>
  <c r="J236" i="2"/>
  <c r="J4" i="11" s="1"/>
  <c r="J21" i="11" s="1"/>
  <c r="J245" i="2"/>
  <c r="N446" i="2"/>
  <c r="L444" i="2"/>
  <c r="H243" i="2"/>
  <c r="M239" i="2"/>
  <c r="M7" i="11" s="1"/>
  <c r="M24" i="11" s="1"/>
  <c r="O241" i="2"/>
  <c r="O9" i="11" s="1"/>
  <c r="O26" i="11" s="1"/>
  <c r="Q243" i="2"/>
  <c r="L247" i="2"/>
  <c r="Z698" i="2"/>
  <c r="M16" i="11" l="1"/>
  <c r="M33" i="11" s="1"/>
  <c r="M453" i="2"/>
  <c r="L452" i="2"/>
  <c r="L15" i="11"/>
  <c r="L32" i="11" s="1"/>
  <c r="L443" i="2"/>
  <c r="L6" i="11"/>
  <c r="L23" i="11" s="1"/>
  <c r="K451" i="2"/>
  <c r="K14" i="11"/>
  <c r="K31" i="11" s="1"/>
  <c r="Q448" i="2"/>
  <c r="Q11" i="11"/>
  <c r="Q28" i="11" s="1"/>
  <c r="I449" i="2"/>
  <c r="I12" i="11"/>
  <c r="I29" i="11" s="1"/>
  <c r="I245" i="2"/>
  <c r="N8" i="11"/>
  <c r="N25" i="11" s="1"/>
  <c r="D444" i="2"/>
  <c r="D7" i="11"/>
  <c r="D24" i="11" s="1"/>
  <c r="G447" i="2"/>
  <c r="G10" i="11"/>
  <c r="G27" i="11" s="1"/>
  <c r="P447" i="2"/>
  <c r="P10" i="11"/>
  <c r="P27" i="11" s="1"/>
  <c r="H448" i="2"/>
  <c r="H11" i="11"/>
  <c r="H28" i="11" s="1"/>
  <c r="F446" i="2"/>
  <c r="F9" i="11"/>
  <c r="F26" i="11" s="1"/>
  <c r="F447" i="2"/>
  <c r="F10" i="11"/>
  <c r="F27" i="11" s="1"/>
  <c r="J450" i="2"/>
  <c r="J13" i="11"/>
  <c r="J30" i="11" s="1"/>
  <c r="I440" i="2"/>
  <c r="I3" i="11"/>
  <c r="I20" i="11" s="1"/>
  <c r="K442" i="2"/>
  <c r="K5" i="11"/>
  <c r="K22" i="11" s="1"/>
  <c r="E445" i="2"/>
  <c r="E8" i="11"/>
  <c r="E25" i="11" s="1"/>
  <c r="L237" i="2"/>
  <c r="F243" i="2" s="1"/>
  <c r="O240" i="2"/>
  <c r="K247" i="2"/>
  <c r="Q242" i="2"/>
  <c r="D240" i="2"/>
  <c r="J235" i="2"/>
  <c r="N445" i="2"/>
  <c r="M238" i="2"/>
  <c r="G243" i="2"/>
  <c r="J441" i="2"/>
  <c r="E241" i="2"/>
  <c r="K236" i="2"/>
  <c r="K4" i="11" s="1"/>
  <c r="K21" i="11" s="1"/>
  <c r="M444" i="2"/>
  <c r="H244" i="2"/>
  <c r="N239" i="2"/>
  <c r="N7" i="11" s="1"/>
  <c r="N24" i="11" s="1"/>
  <c r="P241" i="2"/>
  <c r="O446" i="2"/>
  <c r="J246" i="2"/>
  <c r="L248" i="2"/>
  <c r="AA698" i="2"/>
  <c r="F448" i="2" l="1"/>
  <c r="F11" i="11"/>
  <c r="F28" i="11" s="1"/>
  <c r="L16" i="11"/>
  <c r="L33" i="11" s="1"/>
  <c r="L453" i="2"/>
  <c r="G448" i="2"/>
  <c r="G11" i="11"/>
  <c r="G28" i="11" s="1"/>
  <c r="D445" i="2"/>
  <c r="D8" i="11"/>
  <c r="D25" i="11" s="1"/>
  <c r="P446" i="2"/>
  <c r="P9" i="11"/>
  <c r="P26" i="11" s="1"/>
  <c r="M443" i="2"/>
  <c r="M6" i="11"/>
  <c r="M23" i="11" s="1"/>
  <c r="Q447" i="2"/>
  <c r="Q10" i="11"/>
  <c r="Q27" i="11" s="1"/>
  <c r="I450" i="2"/>
  <c r="I13" i="11"/>
  <c r="I30" i="11" s="1"/>
  <c r="L442" i="2"/>
  <c r="L5" i="11"/>
  <c r="L22" i="11" s="1"/>
  <c r="E446" i="2"/>
  <c r="E9" i="11"/>
  <c r="E26" i="11" s="1"/>
  <c r="K452" i="2"/>
  <c r="K15" i="11"/>
  <c r="K32" i="11" s="1"/>
  <c r="J451" i="2"/>
  <c r="J14" i="11"/>
  <c r="J31" i="11" s="1"/>
  <c r="H449" i="2"/>
  <c r="H12" i="11"/>
  <c r="H29" i="11" s="1"/>
  <c r="J440" i="2"/>
  <c r="J3" i="11"/>
  <c r="J20" i="11" s="1"/>
  <c r="O445" i="2"/>
  <c r="O8" i="11"/>
  <c r="O25" i="11" s="1"/>
  <c r="M237" i="2"/>
  <c r="F244" i="2" s="1"/>
  <c r="P240" i="2"/>
  <c r="I246" i="2"/>
  <c r="N238" i="2"/>
  <c r="K248" i="2"/>
  <c r="K235" i="2"/>
  <c r="D241" i="2"/>
  <c r="G244" i="2"/>
  <c r="Q241" i="2"/>
  <c r="J247" i="2"/>
  <c r="K441" i="2"/>
  <c r="E242" i="2"/>
  <c r="L236" i="2"/>
  <c r="L4" i="11" s="1"/>
  <c r="L21" i="11" s="1"/>
  <c r="N444" i="2"/>
  <c r="H245" i="2"/>
  <c r="O239" i="2"/>
  <c r="O7" i="11" s="1"/>
  <c r="O24" i="11" s="1"/>
  <c r="AB698" i="2"/>
  <c r="K16" i="11" l="1"/>
  <c r="K33" i="11" s="1"/>
  <c r="K453" i="2"/>
  <c r="I451" i="2"/>
  <c r="I14" i="11"/>
  <c r="I31" i="11" s="1"/>
  <c r="J452" i="2"/>
  <c r="J15" i="11"/>
  <c r="J32" i="11" s="1"/>
  <c r="K440" i="2"/>
  <c r="K3" i="11"/>
  <c r="K20" i="11" s="1"/>
  <c r="P445" i="2"/>
  <c r="P8" i="11"/>
  <c r="P25" i="11" s="1"/>
  <c r="D446" i="2"/>
  <c r="D9" i="11"/>
  <c r="D26" i="11" s="1"/>
  <c r="F449" i="2"/>
  <c r="F12" i="11"/>
  <c r="F29" i="11" s="1"/>
  <c r="Q446" i="2"/>
  <c r="Q9" i="11"/>
  <c r="Q26" i="11" s="1"/>
  <c r="M442" i="2"/>
  <c r="M5" i="11"/>
  <c r="M22" i="11" s="1"/>
  <c r="H450" i="2"/>
  <c r="H13" i="11"/>
  <c r="H30" i="11" s="1"/>
  <c r="E447" i="2"/>
  <c r="E10" i="11"/>
  <c r="E27" i="11" s="1"/>
  <c r="G449" i="2"/>
  <c r="G12" i="11"/>
  <c r="G29" i="11" s="1"/>
  <c r="N443" i="2"/>
  <c r="N6" i="11"/>
  <c r="N23" i="11" s="1"/>
  <c r="N237" i="2"/>
  <c r="Q240" i="2"/>
  <c r="I247" i="2"/>
  <c r="G245" i="2"/>
  <c r="O238" i="2"/>
  <c r="D242" i="2"/>
  <c r="L235" i="2"/>
  <c r="J248" i="2"/>
  <c r="L441" i="2"/>
  <c r="M236" i="2"/>
  <c r="M4" i="11" s="1"/>
  <c r="M21" i="11" s="1"/>
  <c r="E243" i="2"/>
  <c r="O444" i="2"/>
  <c r="H246" i="2"/>
  <c r="P239" i="2"/>
  <c r="P7" i="11" s="1"/>
  <c r="P24" i="11" s="1"/>
  <c r="AC698" i="2"/>
  <c r="J16" i="11" l="1"/>
  <c r="J33" i="11" s="1"/>
  <c r="J453" i="2"/>
  <c r="O443" i="2"/>
  <c r="O6" i="11"/>
  <c r="O23" i="11" s="1"/>
  <c r="G450" i="2"/>
  <c r="G13" i="11"/>
  <c r="G30" i="11" s="1"/>
  <c r="H451" i="2"/>
  <c r="H14" i="11"/>
  <c r="H31" i="11" s="1"/>
  <c r="N442" i="2"/>
  <c r="N5" i="11"/>
  <c r="N22" i="11" s="1"/>
  <c r="E448" i="2"/>
  <c r="E11" i="11"/>
  <c r="E28" i="11" s="1"/>
  <c r="L440" i="2"/>
  <c r="L3" i="11"/>
  <c r="L20" i="11" s="1"/>
  <c r="I452" i="2"/>
  <c r="I15" i="11"/>
  <c r="I32" i="11" s="1"/>
  <c r="D447" i="2"/>
  <c r="D10" i="11"/>
  <c r="D27" i="11" s="1"/>
  <c r="Q445" i="2"/>
  <c r="Q8" i="11"/>
  <c r="Q25" i="11" s="1"/>
  <c r="O237" i="2"/>
  <c r="F245" i="2"/>
  <c r="I248" i="2"/>
  <c r="P238" i="2"/>
  <c r="G246" i="2"/>
  <c r="M235" i="2"/>
  <c r="D243" i="2"/>
  <c r="M441" i="2"/>
  <c r="E244" i="2"/>
  <c r="N236" i="2"/>
  <c r="N4" i="11" s="1"/>
  <c r="N21" i="11" s="1"/>
  <c r="P444" i="2"/>
  <c r="Q239" i="2"/>
  <c r="Q7" i="11" s="1"/>
  <c r="Q24" i="11" s="1"/>
  <c r="H247" i="2"/>
  <c r="AD698" i="2"/>
  <c r="I16" i="11" l="1"/>
  <c r="I33" i="11" s="1"/>
  <c r="I453" i="2"/>
  <c r="D448" i="2"/>
  <c r="D11" i="11"/>
  <c r="D28" i="11" s="1"/>
  <c r="M440" i="2"/>
  <c r="M3" i="11"/>
  <c r="M20" i="11" s="1"/>
  <c r="F450" i="2"/>
  <c r="F13" i="11"/>
  <c r="F30" i="11" s="1"/>
  <c r="H452" i="2"/>
  <c r="H15" i="11"/>
  <c r="H32" i="11" s="1"/>
  <c r="E449" i="2"/>
  <c r="E12" i="11"/>
  <c r="E29" i="11" s="1"/>
  <c r="G451" i="2"/>
  <c r="G14" i="11"/>
  <c r="G31" i="11" s="1"/>
  <c r="O442" i="2"/>
  <c r="O5" i="11"/>
  <c r="O22" i="11" s="1"/>
  <c r="P443" i="2"/>
  <c r="P6" i="11"/>
  <c r="P23" i="11" s="1"/>
  <c r="P237" i="2"/>
  <c r="F246" i="2"/>
  <c r="G247" i="2"/>
  <c r="Q238" i="2"/>
  <c r="D244" i="2"/>
  <c r="N235" i="2"/>
  <c r="N441" i="2"/>
  <c r="E245" i="2"/>
  <c r="O236" i="2"/>
  <c r="O4" i="11" s="1"/>
  <c r="O21" i="11" s="1"/>
  <c r="Q444" i="2"/>
  <c r="H248" i="2"/>
  <c r="AE698" i="2"/>
  <c r="H16" i="11" l="1"/>
  <c r="H33" i="11" s="1"/>
  <c r="H453" i="2"/>
  <c r="D449" i="2"/>
  <c r="D12" i="11"/>
  <c r="D29" i="11" s="1"/>
  <c r="P442" i="2"/>
  <c r="P5" i="11"/>
  <c r="P22" i="11" s="1"/>
  <c r="Q443" i="2"/>
  <c r="Q6" i="11"/>
  <c r="Q23" i="11" s="1"/>
  <c r="G452" i="2"/>
  <c r="G15" i="11"/>
  <c r="G32" i="11" s="1"/>
  <c r="E450" i="2"/>
  <c r="E13" i="11"/>
  <c r="E30" i="11" s="1"/>
  <c r="N440" i="2"/>
  <c r="N3" i="11"/>
  <c r="N20" i="11" s="1"/>
  <c r="F451" i="2"/>
  <c r="F14" i="11"/>
  <c r="F31" i="11" s="1"/>
  <c r="Q237" i="2"/>
  <c r="F247" i="2"/>
  <c r="G248" i="2"/>
  <c r="O235" i="2"/>
  <c r="D245" i="2"/>
  <c r="O441" i="2"/>
  <c r="E246" i="2"/>
  <c r="P236" i="2"/>
  <c r="P4" i="11" s="1"/>
  <c r="P21" i="11" s="1"/>
  <c r="AF698" i="2"/>
  <c r="G16" i="11" l="1"/>
  <c r="G33" i="11" s="1"/>
  <c r="G453" i="2"/>
  <c r="E451" i="2"/>
  <c r="E14" i="11"/>
  <c r="E31" i="11" s="1"/>
  <c r="F452" i="2"/>
  <c r="F15" i="11"/>
  <c r="F32" i="11" s="1"/>
  <c r="D450" i="2"/>
  <c r="D13" i="11"/>
  <c r="D30" i="11" s="1"/>
  <c r="Q442" i="2"/>
  <c r="Q5" i="11"/>
  <c r="Q22" i="11" s="1"/>
  <c r="O440" i="2"/>
  <c r="O3" i="11"/>
  <c r="O20" i="11" s="1"/>
  <c r="F248" i="2"/>
  <c r="P235" i="2"/>
  <c r="D246" i="2"/>
  <c r="P441" i="2"/>
  <c r="E247" i="2"/>
  <c r="Q236" i="2"/>
  <c r="Q4" i="11" s="1"/>
  <c r="Q21" i="11" s="1"/>
  <c r="AG698" i="2"/>
  <c r="F16" i="11" l="1"/>
  <c r="F33" i="11" s="1"/>
  <c r="F453" i="2"/>
  <c r="P440" i="2"/>
  <c r="P3" i="11"/>
  <c r="P20" i="11" s="1"/>
  <c r="D451" i="2"/>
  <c r="D14" i="11"/>
  <c r="D31" i="11" s="1"/>
  <c r="E452" i="2"/>
  <c r="E15" i="11"/>
  <c r="E32" i="11" s="1"/>
  <c r="Q235" i="2"/>
  <c r="D247" i="2"/>
  <c r="Q441" i="2"/>
  <c r="E248" i="2"/>
  <c r="AH698" i="2"/>
  <c r="E16" i="11" l="1"/>
  <c r="E33" i="11" s="1"/>
  <c r="E453" i="2"/>
  <c r="Q440" i="2"/>
  <c r="Q3" i="11"/>
  <c r="Q20" i="11" s="1"/>
  <c r="D452" i="2"/>
  <c r="D15" i="11"/>
  <c r="D32" i="11" s="1"/>
  <c r="D248" i="2"/>
  <c r="AI698" i="2"/>
  <c r="D16" i="11" l="1"/>
  <c r="D33" i="11" s="1"/>
  <c r="C35" i="11" s="1"/>
  <c r="D453" i="2"/>
  <c r="C455" i="2" s="1"/>
  <c r="CA610" i="2" s="1"/>
  <c r="AJ698" i="2"/>
  <c r="F610" i="2" l="1"/>
  <c r="E610" i="2"/>
  <c r="BS610" i="2"/>
  <c r="AE610" i="2"/>
  <c r="BX610" i="2"/>
  <c r="AS610" i="2"/>
  <c r="BY610" i="2"/>
  <c r="BI610" i="2"/>
  <c r="BH610" i="2"/>
  <c r="AZ610" i="2"/>
  <c r="O610" i="2"/>
  <c r="CB610" i="2"/>
  <c r="AX610" i="2"/>
  <c r="AJ610" i="2"/>
  <c r="W610" i="2"/>
  <c r="AH610" i="2"/>
  <c r="BG610" i="2"/>
  <c r="AA610" i="2"/>
  <c r="J610" i="2"/>
  <c r="BR610" i="2"/>
  <c r="AF610" i="2"/>
  <c r="BK610" i="2"/>
  <c r="BW610" i="2"/>
  <c r="AO610" i="2"/>
  <c r="AV610" i="2"/>
  <c r="CO610" i="2"/>
  <c r="AD610" i="2"/>
  <c r="BC610" i="2"/>
  <c r="BB610" i="2"/>
  <c r="BU610" i="2"/>
  <c r="K610" i="2"/>
  <c r="CE610" i="2"/>
  <c r="BM610" i="2"/>
  <c r="AU610" i="2"/>
  <c r="AK610" i="2"/>
  <c r="V610" i="2"/>
  <c r="CD610" i="2"/>
  <c r="CP610" i="2"/>
  <c r="BE610" i="2"/>
  <c r="BZ610" i="2"/>
  <c r="BN610" i="2"/>
  <c r="CI610" i="2"/>
  <c r="G610" i="2"/>
  <c r="CM610" i="2"/>
  <c r="BA610" i="2"/>
  <c r="AR610" i="2"/>
  <c r="AM610" i="2"/>
  <c r="CF610" i="2"/>
  <c r="S610" i="2"/>
  <c r="CJ610" i="2"/>
  <c r="AL610" i="2"/>
  <c r="BP610" i="2"/>
  <c r="M610" i="2"/>
  <c r="BO610" i="2"/>
  <c r="CN610" i="2"/>
  <c r="BQ610" i="2"/>
  <c r="AY610" i="2"/>
  <c r="AT610" i="2"/>
  <c r="L610" i="2"/>
  <c r="AN610" i="2"/>
  <c r="X610" i="2"/>
  <c r="BD610" i="2"/>
  <c r="BV610" i="2"/>
  <c r="R610" i="2"/>
  <c r="AC610" i="2"/>
  <c r="BJ610" i="2"/>
  <c r="AB610" i="2"/>
  <c r="CH610" i="2"/>
  <c r="AP610" i="2"/>
  <c r="U610" i="2"/>
  <c r="CL610" i="2"/>
  <c r="P610" i="2"/>
  <c r="Q610" i="2"/>
  <c r="Z610" i="2"/>
  <c r="N610" i="2"/>
  <c r="AQ610" i="2"/>
  <c r="CC610" i="2"/>
  <c r="I610" i="2"/>
  <c r="BT610" i="2"/>
  <c r="AG610" i="2"/>
  <c r="T610" i="2"/>
  <c r="AI610" i="2"/>
  <c r="CK610" i="2"/>
  <c r="Y610" i="2"/>
  <c r="AW610" i="2"/>
  <c r="D610" i="2"/>
  <c r="BF610" i="2"/>
  <c r="BL610" i="2"/>
  <c r="CG610" i="2"/>
  <c r="H610" i="2"/>
  <c r="AK698" i="2"/>
  <c r="AL698" i="2" l="1"/>
  <c r="AM698" i="2" l="1"/>
  <c r="AN698" i="2" l="1"/>
  <c r="AO698" i="2" l="1"/>
  <c r="AP698" i="2" l="1"/>
  <c r="AQ698" i="2" l="1"/>
  <c r="AR698" i="2" l="1"/>
  <c r="AS698" i="2" l="1"/>
  <c r="AT698" i="2" l="1"/>
  <c r="AU698" i="2" l="1"/>
  <c r="AV698" i="2" l="1"/>
  <c r="AW698" i="2" l="1"/>
  <c r="AX698" i="2" l="1"/>
  <c r="AY698" i="2" l="1"/>
  <c r="AZ698" i="2" l="1"/>
  <c r="BA698" i="2" l="1"/>
  <c r="BB698" i="2" l="1"/>
  <c r="BC698" i="2" l="1"/>
  <c r="BD698" i="2" l="1"/>
  <c r="BE698" i="2" l="1"/>
  <c r="BF698" i="2" l="1"/>
  <c r="BG698" i="2" l="1"/>
  <c r="BH698" i="2" l="1"/>
  <c r="BI698" i="2" l="1"/>
  <c r="BJ698" i="2" l="1"/>
  <c r="BK698" i="2" l="1"/>
  <c r="BL698" i="2" l="1"/>
  <c r="BM698" i="2" l="1"/>
  <c r="BN698" i="2" l="1"/>
  <c r="BO698" i="2" l="1"/>
  <c r="BP698" i="2" l="1"/>
  <c r="BQ698" i="2" l="1"/>
  <c r="BR698" i="2" l="1"/>
  <c r="BS698" i="2" l="1"/>
  <c r="BT698" i="2" l="1"/>
  <c r="BU698" i="2" l="1"/>
  <c r="BV698" i="2" l="1"/>
  <c r="BW698" i="2" l="1"/>
  <c r="BX698" i="2" l="1"/>
  <c r="BY698" i="2" l="1"/>
  <c r="BZ698" i="2" l="1"/>
  <c r="CA698" i="2" l="1"/>
  <c r="CB698" i="2" l="1"/>
  <c r="CC698" i="2" l="1"/>
  <c r="CD698" i="2" l="1"/>
  <c r="CE698" i="2" l="1"/>
  <c r="CF698" i="2" l="1"/>
  <c r="CG698" i="2" l="1"/>
  <c r="CH698" i="2" l="1"/>
  <c r="CI698" i="2" l="1"/>
  <c r="CJ698" i="2" l="1"/>
  <c r="CK698" i="2" l="1"/>
  <c r="CL698" i="2" l="1"/>
  <c r="CM698" i="2" l="1"/>
  <c r="CN698" i="2" l="1"/>
  <c r="CO698" i="2" l="1"/>
  <c r="CP698" i="2" l="1"/>
  <c r="I40" i="11" l="1"/>
  <c r="M40" i="11"/>
  <c r="Q40" i="11"/>
  <c r="F40" i="11"/>
  <c r="J40" i="11"/>
  <c r="N40" i="11"/>
  <c r="G40" i="11"/>
  <c r="K40" i="11"/>
  <c r="O40" i="11"/>
  <c r="H40" i="11"/>
  <c r="L40" i="11"/>
  <c r="P40" i="11"/>
  <c r="D40" i="11"/>
  <c r="E40" i="11" l="1"/>
  <c r="G373" i="2"/>
  <c r="G549" i="2"/>
  <c r="H373" i="2"/>
  <c r="H549" i="2"/>
  <c r="N373" i="2"/>
  <c r="N549" i="2"/>
  <c r="D373" i="2"/>
  <c r="D549" i="2"/>
  <c r="O373" i="2"/>
  <c r="O549" i="2"/>
  <c r="J373" i="2"/>
  <c r="J549" i="2"/>
  <c r="I373" i="2"/>
  <c r="I549" i="2"/>
  <c r="L373" i="2"/>
  <c r="L549" i="2"/>
  <c r="Q373" i="2"/>
  <c r="Q549" i="2"/>
  <c r="M373" i="2"/>
  <c r="M549" i="2"/>
  <c r="P373" i="2"/>
  <c r="P549" i="2"/>
  <c r="K373" i="2"/>
  <c r="K549" i="2"/>
  <c r="F373" i="2"/>
  <c r="F549" i="2"/>
  <c r="E373" i="2"/>
  <c r="E549" i="2"/>
  <c r="G461" i="2"/>
  <c r="Q505" i="2"/>
  <c r="O505" i="2"/>
  <c r="I505" i="2"/>
  <c r="D505" i="2"/>
  <c r="J461" i="2"/>
  <c r="D417" i="2"/>
  <c r="L505" i="2"/>
  <c r="J505" i="2"/>
  <c r="I461" i="2"/>
  <c r="Q461" i="2"/>
  <c r="P505" i="2"/>
  <c r="L461" i="2"/>
  <c r="H505" i="2"/>
  <c r="G505" i="2"/>
  <c r="M505" i="2"/>
  <c r="O461" i="2"/>
  <c r="N461" i="2"/>
  <c r="D461" i="2"/>
  <c r="P461" i="2"/>
  <c r="H461" i="2"/>
  <c r="K461" i="2"/>
  <c r="K505" i="2"/>
  <c r="N505" i="2"/>
  <c r="F461" i="2"/>
  <c r="M461" i="2"/>
  <c r="E505" i="2"/>
  <c r="E461" i="2"/>
  <c r="F505" i="2"/>
  <c r="K47" i="11"/>
  <c r="M49" i="11"/>
  <c r="G41" i="11"/>
  <c r="O49" i="11"/>
  <c r="J44" i="11"/>
  <c r="N47" i="11"/>
  <c r="L46" i="11"/>
  <c r="N48" i="11"/>
  <c r="I43" i="11"/>
  <c r="J41" i="11"/>
  <c r="K44" i="11"/>
  <c r="I42" i="11"/>
  <c r="N52" i="11"/>
  <c r="H46" i="11"/>
  <c r="F48" i="11"/>
  <c r="K49" i="11"/>
  <c r="G45" i="11"/>
  <c r="E43" i="11"/>
  <c r="L45" i="11"/>
  <c r="E44" i="11"/>
  <c r="I47" i="11"/>
  <c r="M52" i="11"/>
  <c r="K50" i="11"/>
  <c r="L50" i="11"/>
  <c r="L44" i="11"/>
  <c r="J49" i="11"/>
  <c r="L43" i="11"/>
  <c r="E45" i="11"/>
  <c r="G46" i="11"/>
  <c r="Q49" i="11"/>
  <c r="H47" i="11"/>
  <c r="P48" i="11"/>
  <c r="D44" i="11"/>
  <c r="E46" i="11"/>
  <c r="P47" i="11"/>
  <c r="N46" i="11"/>
  <c r="M45" i="11"/>
  <c r="M41" i="11"/>
  <c r="F45" i="11"/>
  <c r="N45" i="11"/>
  <c r="I48" i="11"/>
  <c r="J50" i="11"/>
  <c r="E47" i="11"/>
  <c r="M43" i="11"/>
  <c r="L52" i="11"/>
  <c r="K52" i="11"/>
  <c r="O46" i="11"/>
  <c r="K42" i="11"/>
  <c r="E48" i="11"/>
  <c r="N41" i="11"/>
  <c r="J51" i="11"/>
  <c r="O44" i="11"/>
  <c r="P46" i="11"/>
  <c r="G50" i="11"/>
  <c r="P45" i="11"/>
  <c r="E49" i="11"/>
  <c r="J52" i="11"/>
  <c r="F49" i="11"/>
  <c r="I52" i="11"/>
  <c r="O42" i="11"/>
  <c r="O43" i="11"/>
  <c r="P44" i="11"/>
  <c r="M42" i="11"/>
  <c r="G51" i="11"/>
  <c r="P43" i="11"/>
  <c r="P42" i="11"/>
  <c r="Q43" i="11"/>
  <c r="H52" i="11"/>
  <c r="F50" i="11"/>
  <c r="D51" i="11"/>
  <c r="F51" i="11"/>
  <c r="F52" i="11"/>
  <c r="P59" i="2"/>
  <c r="N59" i="2" l="1"/>
  <c r="V54" i="2"/>
  <c r="M59" i="2"/>
  <c r="L59" i="2"/>
  <c r="Q52" i="11"/>
  <c r="V56" i="2"/>
  <c r="L47" i="11"/>
  <c r="V51" i="2"/>
  <c r="P51" i="11"/>
  <c r="V55" i="2"/>
  <c r="J59" i="2"/>
  <c r="O59" i="2"/>
  <c r="V48" i="2"/>
  <c r="I59" i="2"/>
  <c r="F59" i="2"/>
  <c r="K48" i="11"/>
  <c r="K59" i="2"/>
  <c r="K46" i="11"/>
  <c r="V50" i="2"/>
  <c r="N49" i="11"/>
  <c r="V53" i="2"/>
  <c r="J45" i="11"/>
  <c r="V49" i="2"/>
  <c r="G44" i="11"/>
  <c r="G59" i="2"/>
  <c r="M48" i="11"/>
  <c r="V52" i="2"/>
  <c r="D59" i="2"/>
  <c r="H59" i="2"/>
  <c r="V47" i="2"/>
  <c r="E59" i="2"/>
  <c r="V46" i="2"/>
  <c r="D550" i="2"/>
  <c r="D41" i="11"/>
  <c r="P550" i="2"/>
  <c r="P41" i="11"/>
  <c r="D552" i="2"/>
  <c r="D43" i="11"/>
  <c r="M556" i="2"/>
  <c r="M47" i="11"/>
  <c r="E474" i="2"/>
  <c r="E518" i="2"/>
  <c r="E53" i="11"/>
  <c r="E430" i="2"/>
  <c r="E562" i="2"/>
  <c r="G430" i="2"/>
  <c r="G53" i="11"/>
  <c r="G562" i="2"/>
  <c r="G474" i="2"/>
  <c r="G518" i="2"/>
  <c r="L474" i="2"/>
  <c r="L562" i="2"/>
  <c r="L53" i="11"/>
  <c r="L518" i="2"/>
  <c r="L430" i="2"/>
  <c r="D558" i="2"/>
  <c r="D49" i="11"/>
  <c r="Q554" i="2"/>
  <c r="Q45" i="11"/>
  <c r="Q555" i="2"/>
  <c r="Q46" i="11"/>
  <c r="F556" i="2"/>
  <c r="F47" i="11"/>
  <c r="Q557" i="2"/>
  <c r="Q48" i="11"/>
  <c r="G557" i="2"/>
  <c r="G48" i="11"/>
  <c r="M559" i="2"/>
  <c r="M50" i="11"/>
  <c r="J552" i="2"/>
  <c r="J43" i="11"/>
  <c r="L558" i="2"/>
  <c r="L49" i="11"/>
  <c r="H553" i="2"/>
  <c r="H44" i="11"/>
  <c r="Q553" i="2"/>
  <c r="Q44" i="11"/>
  <c r="Q550" i="2"/>
  <c r="Q41" i="11"/>
  <c r="D556" i="2"/>
  <c r="D47" i="11"/>
  <c r="N553" i="2"/>
  <c r="N44" i="11"/>
  <c r="M560" i="2"/>
  <c r="M51" i="11"/>
  <c r="I562" i="2"/>
  <c r="I430" i="2"/>
  <c r="I474" i="2"/>
  <c r="I53" i="11"/>
  <c r="I518" i="2"/>
  <c r="D518" i="2"/>
  <c r="D562" i="2"/>
  <c r="D430" i="2"/>
  <c r="D474" i="2"/>
  <c r="D53" i="11"/>
  <c r="Q551" i="2"/>
  <c r="Q42" i="11"/>
  <c r="N551" i="2"/>
  <c r="N42" i="11"/>
  <c r="D557" i="2"/>
  <c r="D48" i="11"/>
  <c r="E559" i="2"/>
  <c r="E50" i="11"/>
  <c r="O554" i="2"/>
  <c r="O45" i="11"/>
  <c r="Q556" i="2"/>
  <c r="Q47" i="11"/>
  <c r="O556" i="2"/>
  <c r="O47" i="11"/>
  <c r="J556" i="2"/>
  <c r="J47" i="11"/>
  <c r="O559" i="2"/>
  <c r="O50" i="11"/>
  <c r="P561" i="2"/>
  <c r="P52" i="11"/>
  <c r="K554" i="2"/>
  <c r="K45" i="11"/>
  <c r="F551" i="2"/>
  <c r="F42" i="11"/>
  <c r="D551" i="2"/>
  <c r="D42" i="11"/>
  <c r="E550" i="2"/>
  <c r="E41" i="11"/>
  <c r="N430" i="2"/>
  <c r="N53" i="11"/>
  <c r="N474" i="2"/>
  <c r="N518" i="2"/>
  <c r="N562" i="2"/>
  <c r="O550" i="2"/>
  <c r="O41" i="11"/>
  <c r="K560" i="2"/>
  <c r="K51" i="11"/>
  <c r="I555" i="2"/>
  <c r="I46" i="11"/>
  <c r="J555" i="2"/>
  <c r="J46" i="11"/>
  <c r="K53" i="11"/>
  <c r="K474" i="2"/>
  <c r="K518" i="2"/>
  <c r="K562" i="2"/>
  <c r="K430" i="2"/>
  <c r="Q562" i="2"/>
  <c r="Q430" i="2"/>
  <c r="Q518" i="2"/>
  <c r="Q474" i="2"/>
  <c r="Q53" i="11"/>
  <c r="D559" i="2"/>
  <c r="D50" i="11"/>
  <c r="E560" i="2"/>
  <c r="E51" i="11"/>
  <c r="G558" i="2"/>
  <c r="G49" i="11"/>
  <c r="M553" i="2"/>
  <c r="M44" i="11"/>
  <c r="M555" i="2"/>
  <c r="M46" i="11"/>
  <c r="I550" i="2"/>
  <c r="I41" i="11"/>
  <c r="H554" i="2"/>
  <c r="H45" i="11"/>
  <c r="P559" i="2"/>
  <c r="P50" i="11"/>
  <c r="Q560" i="2"/>
  <c r="Q51" i="11"/>
  <c r="H552" i="2"/>
  <c r="H43" i="11"/>
  <c r="E551" i="2"/>
  <c r="E42" i="11"/>
  <c r="G551" i="2"/>
  <c r="G42" i="11"/>
  <c r="N559" i="2"/>
  <c r="N50" i="11"/>
  <c r="I560" i="2"/>
  <c r="I51" i="11"/>
  <c r="O560" i="2"/>
  <c r="O51" i="11"/>
  <c r="F550" i="2"/>
  <c r="F41" i="11"/>
  <c r="P562" i="2"/>
  <c r="P430" i="2"/>
  <c r="P474" i="2"/>
  <c r="P53" i="11"/>
  <c r="P518" i="2"/>
  <c r="I558" i="2"/>
  <c r="I49" i="11"/>
  <c r="H558" i="2"/>
  <c r="H49" i="11"/>
  <c r="D554" i="2"/>
  <c r="D45" i="11"/>
  <c r="L560" i="2"/>
  <c r="L51" i="11"/>
  <c r="Q559" i="2"/>
  <c r="Q50" i="11"/>
  <c r="M474" i="2"/>
  <c r="M53" i="11"/>
  <c r="M518" i="2"/>
  <c r="M562" i="2"/>
  <c r="M430" i="2"/>
  <c r="L551" i="2"/>
  <c r="L42" i="11"/>
  <c r="D555" i="2"/>
  <c r="D46" i="11"/>
  <c r="H557" i="2"/>
  <c r="H48" i="11"/>
  <c r="K550" i="2"/>
  <c r="K41" i="11"/>
  <c r="J557" i="2"/>
  <c r="J48" i="11"/>
  <c r="H550" i="2"/>
  <c r="H41" i="11"/>
  <c r="N560" i="2"/>
  <c r="N51" i="11"/>
  <c r="I554" i="2"/>
  <c r="I45" i="11"/>
  <c r="H562" i="2"/>
  <c r="H430" i="2"/>
  <c r="H474" i="2"/>
  <c r="H53" i="11"/>
  <c r="H518" i="2"/>
  <c r="D561" i="2"/>
  <c r="D52" i="11"/>
  <c r="G561" i="2"/>
  <c r="G52" i="11"/>
  <c r="H560" i="2"/>
  <c r="H51" i="11"/>
  <c r="I559" i="2"/>
  <c r="I50" i="11"/>
  <c r="F553" i="2"/>
  <c r="F44" i="11"/>
  <c r="F552" i="2"/>
  <c r="F43" i="11"/>
  <c r="L557" i="2"/>
  <c r="L48" i="11"/>
  <c r="J518" i="2"/>
  <c r="J430" i="2"/>
  <c r="J53" i="11"/>
  <c r="J562" i="2"/>
  <c r="J474" i="2"/>
  <c r="E561" i="2"/>
  <c r="E52" i="11"/>
  <c r="O430" i="2"/>
  <c r="O474" i="2"/>
  <c r="O53" i="11"/>
  <c r="O562" i="2"/>
  <c r="O518" i="2"/>
  <c r="F430" i="2"/>
  <c r="F518" i="2"/>
  <c r="F474" i="2"/>
  <c r="F53" i="11"/>
  <c r="F562" i="2"/>
  <c r="H559" i="2"/>
  <c r="H50" i="11"/>
  <c r="N552" i="2"/>
  <c r="N43" i="11"/>
  <c r="F555" i="2"/>
  <c r="F46" i="11"/>
  <c r="J551" i="2"/>
  <c r="J42" i="11"/>
  <c r="G556" i="2"/>
  <c r="G47" i="11"/>
  <c r="L550" i="2"/>
  <c r="L41" i="11"/>
  <c r="O557" i="2"/>
  <c r="O48" i="11"/>
  <c r="K552" i="2"/>
  <c r="K43" i="11"/>
  <c r="P558" i="2"/>
  <c r="P49" i="11"/>
  <c r="O561" i="2"/>
  <c r="O52" i="11"/>
  <c r="G552" i="2"/>
  <c r="G43" i="11"/>
  <c r="H551" i="2"/>
  <c r="H42" i="11"/>
  <c r="I553" i="2"/>
  <c r="I44" i="11"/>
  <c r="H385" i="2"/>
  <c r="H561" i="2"/>
  <c r="G384" i="2"/>
  <c r="G560" i="2"/>
  <c r="M375" i="2"/>
  <c r="M551" i="2"/>
  <c r="O375" i="2"/>
  <c r="O551" i="2"/>
  <c r="M376" i="2"/>
  <c r="M552" i="2"/>
  <c r="E380" i="2"/>
  <c r="E556" i="2"/>
  <c r="N378" i="2"/>
  <c r="N554" i="2"/>
  <c r="N379" i="2"/>
  <c r="N555" i="2"/>
  <c r="Q382" i="2"/>
  <c r="Q558" i="2"/>
  <c r="L383" i="2"/>
  <c r="L559" i="2"/>
  <c r="K382" i="2"/>
  <c r="K558" i="2"/>
  <c r="H379" i="2"/>
  <c r="H555" i="2"/>
  <c r="N385" i="2"/>
  <c r="N561" i="2"/>
  <c r="Q386" i="2"/>
  <c r="D428" i="2"/>
  <c r="D560" i="2"/>
  <c r="Q376" i="2"/>
  <c r="Q552" i="2"/>
  <c r="P375" i="2"/>
  <c r="P551" i="2"/>
  <c r="P377" i="2"/>
  <c r="P553" i="2"/>
  <c r="I385" i="2"/>
  <c r="I561" i="2"/>
  <c r="P378" i="2"/>
  <c r="P554" i="2"/>
  <c r="P379" i="2"/>
  <c r="P555" i="2"/>
  <c r="E381" i="2"/>
  <c r="E557" i="2"/>
  <c r="O379" i="2"/>
  <c r="O555" i="2"/>
  <c r="L385" i="2"/>
  <c r="L561" i="2"/>
  <c r="J383" i="2"/>
  <c r="J559" i="2"/>
  <c r="F378" i="2"/>
  <c r="F554" i="2"/>
  <c r="P380" i="2"/>
  <c r="P556" i="2"/>
  <c r="D377" i="2"/>
  <c r="D553" i="2"/>
  <c r="G379" i="2"/>
  <c r="G555" i="2"/>
  <c r="L376" i="2"/>
  <c r="L552" i="2"/>
  <c r="I380" i="2"/>
  <c r="I556" i="2"/>
  <c r="E376" i="2"/>
  <c r="E552" i="2"/>
  <c r="F381" i="2"/>
  <c r="F557" i="2"/>
  <c r="K377" i="2"/>
  <c r="K553" i="2"/>
  <c r="G374" i="2"/>
  <c r="G550" i="2"/>
  <c r="H386" i="2"/>
  <c r="F385" i="2"/>
  <c r="F561" i="2"/>
  <c r="F383" i="2"/>
  <c r="F559" i="2"/>
  <c r="O376" i="2"/>
  <c r="O552" i="2"/>
  <c r="G383" i="2"/>
  <c r="G559" i="2"/>
  <c r="O377" i="2"/>
  <c r="O553" i="2"/>
  <c r="K375" i="2"/>
  <c r="K551" i="2"/>
  <c r="I381" i="2"/>
  <c r="I557" i="2"/>
  <c r="M374" i="2"/>
  <c r="M550" i="2"/>
  <c r="P381" i="2"/>
  <c r="P557" i="2"/>
  <c r="E378" i="2"/>
  <c r="E554" i="2"/>
  <c r="J382" i="2"/>
  <c r="J558" i="2"/>
  <c r="K383" i="2"/>
  <c r="K559" i="2"/>
  <c r="E377" i="2"/>
  <c r="E553" i="2"/>
  <c r="G378" i="2"/>
  <c r="G554" i="2"/>
  <c r="K381" i="2"/>
  <c r="K557" i="2"/>
  <c r="J374" i="2"/>
  <c r="J550" i="2"/>
  <c r="K379" i="2"/>
  <c r="K555" i="2"/>
  <c r="N380" i="2"/>
  <c r="N556" i="2"/>
  <c r="J377" i="2"/>
  <c r="J553" i="2"/>
  <c r="N382" i="2"/>
  <c r="N558" i="2"/>
  <c r="J378" i="2"/>
  <c r="J554" i="2"/>
  <c r="M382" i="2"/>
  <c r="M558" i="2"/>
  <c r="E382" i="2"/>
  <c r="E558" i="2"/>
  <c r="N381" i="2"/>
  <c r="N557" i="2"/>
  <c r="M381" i="2"/>
  <c r="M557" i="2"/>
  <c r="G386" i="2"/>
  <c r="J386" i="2"/>
  <c r="F384" i="2"/>
  <c r="F560" i="2"/>
  <c r="L386" i="2"/>
  <c r="P376" i="2"/>
  <c r="P552" i="2"/>
  <c r="F382" i="2"/>
  <c r="F558" i="2"/>
  <c r="J385" i="2"/>
  <c r="J561" i="2"/>
  <c r="J384" i="2"/>
  <c r="J560" i="2"/>
  <c r="N374" i="2"/>
  <c r="N550" i="2"/>
  <c r="K385" i="2"/>
  <c r="K561" i="2"/>
  <c r="M378" i="2"/>
  <c r="M554" i="2"/>
  <c r="E379" i="2"/>
  <c r="E555" i="2"/>
  <c r="H380" i="2"/>
  <c r="H556" i="2"/>
  <c r="L377" i="2"/>
  <c r="L553" i="2"/>
  <c r="M385" i="2"/>
  <c r="M561" i="2"/>
  <c r="L378" i="2"/>
  <c r="L554" i="2"/>
  <c r="I375" i="2"/>
  <c r="I551" i="2"/>
  <c r="G377" i="2"/>
  <c r="G553" i="2"/>
  <c r="I376" i="2"/>
  <c r="I552" i="2"/>
  <c r="L379" i="2"/>
  <c r="L555" i="2"/>
  <c r="Q385" i="2"/>
  <c r="Q561" i="2"/>
  <c r="O382" i="2"/>
  <c r="O558" i="2"/>
  <c r="L380" i="2"/>
  <c r="L556" i="2"/>
  <c r="P384" i="2"/>
  <c r="P560" i="2"/>
  <c r="K380" i="2"/>
  <c r="K556" i="2"/>
  <c r="M386" i="2"/>
  <c r="E473" i="2"/>
  <c r="E385" i="2"/>
  <c r="L463" i="2"/>
  <c r="L375" i="2"/>
  <c r="N386" i="2"/>
  <c r="E386" i="2"/>
  <c r="Q465" i="2"/>
  <c r="Q377" i="2"/>
  <c r="G517" i="2"/>
  <c r="G385" i="2"/>
  <c r="O506" i="2"/>
  <c r="O374" i="2"/>
  <c r="Q374" i="2"/>
  <c r="H516" i="2"/>
  <c r="H384" i="2"/>
  <c r="I471" i="2"/>
  <c r="I383" i="2"/>
  <c r="H514" i="2"/>
  <c r="H382" i="2"/>
  <c r="N377" i="2"/>
  <c r="K472" i="2"/>
  <c r="K384" i="2"/>
  <c r="L516" i="2"/>
  <c r="L384" i="2"/>
  <c r="F465" i="2"/>
  <c r="F377" i="2"/>
  <c r="Q471" i="2"/>
  <c r="Q383" i="2"/>
  <c r="I467" i="2"/>
  <c r="I379" i="2"/>
  <c r="F376" i="2"/>
  <c r="M516" i="2"/>
  <c r="M384" i="2"/>
  <c r="F462" i="2"/>
  <c r="F374" i="2"/>
  <c r="J511" i="2"/>
  <c r="J379" i="2"/>
  <c r="L425" i="2"/>
  <c r="L381" i="2"/>
  <c r="Q379" i="2"/>
  <c r="Q381" i="2"/>
  <c r="H381" i="2"/>
  <c r="G513" i="2"/>
  <c r="G381" i="2"/>
  <c r="K462" i="2"/>
  <c r="K374" i="2"/>
  <c r="J513" i="2"/>
  <c r="J381" i="2"/>
  <c r="H374" i="2"/>
  <c r="M383" i="2"/>
  <c r="N384" i="2"/>
  <c r="J376" i="2"/>
  <c r="L382" i="2"/>
  <c r="I422" i="2"/>
  <c r="I378" i="2"/>
  <c r="H465" i="2"/>
  <c r="H377" i="2"/>
  <c r="F512" i="2"/>
  <c r="F380" i="2"/>
  <c r="N375" i="2"/>
  <c r="H515" i="2"/>
  <c r="H383" i="2"/>
  <c r="N464" i="2"/>
  <c r="N376" i="2"/>
  <c r="Q468" i="2"/>
  <c r="Q380" i="2"/>
  <c r="F467" i="2"/>
  <c r="F379" i="2"/>
  <c r="J507" i="2"/>
  <c r="J375" i="2"/>
  <c r="G468" i="2"/>
  <c r="G380" i="2"/>
  <c r="L506" i="2"/>
  <c r="L374" i="2"/>
  <c r="O469" i="2"/>
  <c r="O381" i="2"/>
  <c r="O512" i="2"/>
  <c r="O380" i="2"/>
  <c r="K464" i="2"/>
  <c r="K376" i="2"/>
  <c r="P470" i="2"/>
  <c r="P382" i="2"/>
  <c r="J380" i="2"/>
  <c r="O473" i="2"/>
  <c r="O385" i="2"/>
  <c r="O515" i="2"/>
  <c r="O383" i="2"/>
  <c r="G508" i="2"/>
  <c r="G376" i="2"/>
  <c r="P473" i="2"/>
  <c r="P385" i="2"/>
  <c r="H463" i="2"/>
  <c r="H375" i="2"/>
  <c r="K510" i="2"/>
  <c r="K378" i="2"/>
  <c r="I465" i="2"/>
  <c r="I377" i="2"/>
  <c r="F375" i="2"/>
  <c r="Q466" i="2"/>
  <c r="Q378" i="2"/>
  <c r="I386" i="2"/>
  <c r="O386" i="2"/>
  <c r="F386" i="2"/>
  <c r="Q507" i="2"/>
  <c r="Q375" i="2"/>
  <c r="E471" i="2"/>
  <c r="E383" i="2"/>
  <c r="O378" i="2"/>
  <c r="K386" i="2"/>
  <c r="P386" i="2"/>
  <c r="P374" i="2"/>
  <c r="E516" i="2"/>
  <c r="E384" i="2"/>
  <c r="I472" i="2"/>
  <c r="I384" i="2"/>
  <c r="G514" i="2"/>
  <c r="G382" i="2"/>
  <c r="M465" i="2"/>
  <c r="M377" i="2"/>
  <c r="I470" i="2"/>
  <c r="I382" i="2"/>
  <c r="M467" i="2"/>
  <c r="M379" i="2"/>
  <c r="I374" i="2"/>
  <c r="H378" i="2"/>
  <c r="P471" i="2"/>
  <c r="P383" i="2"/>
  <c r="Q472" i="2"/>
  <c r="Q384" i="2"/>
  <c r="M380" i="2"/>
  <c r="H464" i="2"/>
  <c r="H376" i="2"/>
  <c r="O516" i="2"/>
  <c r="O384" i="2"/>
  <c r="E375" i="2"/>
  <c r="G507" i="2"/>
  <c r="G375" i="2"/>
  <c r="E418" i="2"/>
  <c r="E374" i="2"/>
  <c r="N471" i="2"/>
  <c r="N383" i="2"/>
  <c r="D385" i="2"/>
  <c r="D380" i="2"/>
  <c r="D378" i="2"/>
  <c r="D511" i="2"/>
  <c r="D379" i="2"/>
  <c r="D386" i="2"/>
  <c r="D381" i="2"/>
  <c r="D382" i="2"/>
  <c r="D506" i="2"/>
  <c r="D374" i="2"/>
  <c r="D384" i="2"/>
  <c r="D515" i="2"/>
  <c r="D383" i="2"/>
  <c r="D464" i="2"/>
  <c r="D376" i="2"/>
  <c r="D463" i="2"/>
  <c r="D375" i="2"/>
  <c r="E508" i="2"/>
  <c r="D472" i="2"/>
  <c r="N463" i="2"/>
  <c r="I466" i="2"/>
  <c r="K468" i="2"/>
  <c r="N507" i="2"/>
  <c r="J509" i="2"/>
  <c r="G463" i="2"/>
  <c r="P512" i="2"/>
  <c r="M515" i="2"/>
  <c r="P466" i="2"/>
  <c r="M507" i="2"/>
  <c r="D513" i="2"/>
  <c r="L508" i="2"/>
  <c r="P509" i="2"/>
  <c r="Q467" i="2"/>
  <c r="I464" i="2"/>
  <c r="G462" i="2"/>
  <c r="L510" i="2"/>
  <c r="M464" i="2"/>
  <c r="M473" i="2"/>
  <c r="I473" i="2"/>
  <c r="F470" i="2"/>
  <c r="K463" i="2"/>
  <c r="H468" i="2"/>
  <c r="H509" i="2"/>
  <c r="G506" i="2"/>
  <c r="Q508" i="2"/>
  <c r="D470" i="2"/>
  <c r="N508" i="2"/>
  <c r="E469" i="2"/>
  <c r="Q513" i="2"/>
  <c r="Q469" i="2"/>
  <c r="P468" i="2"/>
  <c r="H512" i="2"/>
  <c r="I462" i="2"/>
  <c r="M471" i="2"/>
  <c r="P429" i="2"/>
  <c r="H517" i="2"/>
  <c r="F472" i="2"/>
  <c r="E515" i="2"/>
  <c r="I516" i="2"/>
  <c r="H470" i="2"/>
  <c r="I514" i="2"/>
  <c r="I468" i="2"/>
  <c r="E464" i="2"/>
  <c r="G420" i="2"/>
  <c r="O472" i="2"/>
  <c r="P517" i="2"/>
  <c r="K473" i="2"/>
  <c r="H513" i="2"/>
  <c r="H506" i="2"/>
  <c r="F469" i="2"/>
  <c r="F508" i="2"/>
  <c r="N513" i="2"/>
  <c r="G464" i="2"/>
  <c r="F471" i="2"/>
  <c r="E470" i="2"/>
  <c r="F516" i="2"/>
  <c r="Q464" i="2"/>
  <c r="P462" i="2"/>
  <c r="M463" i="2"/>
  <c r="O464" i="2"/>
  <c r="H469" i="2"/>
  <c r="J515" i="2"/>
  <c r="L515" i="2"/>
  <c r="M511" i="2"/>
  <c r="K515" i="2"/>
  <c r="I512" i="2"/>
  <c r="H462" i="2"/>
  <c r="K514" i="2"/>
  <c r="D507" i="2"/>
  <c r="O517" i="2"/>
  <c r="H421" i="2"/>
  <c r="P463" i="2"/>
  <c r="O508" i="2"/>
  <c r="L507" i="2"/>
  <c r="Q506" i="2"/>
  <c r="E472" i="2"/>
  <c r="J473" i="2"/>
  <c r="E514" i="2"/>
  <c r="I515" i="2"/>
  <c r="I469" i="2"/>
  <c r="Q470" i="2"/>
  <c r="J470" i="2"/>
  <c r="E517" i="2"/>
  <c r="H473" i="2"/>
  <c r="Q509" i="2"/>
  <c r="Q462" i="2"/>
  <c r="G515" i="2"/>
  <c r="P467" i="2"/>
  <c r="J472" i="2"/>
  <c r="Q512" i="2"/>
  <c r="O467" i="2"/>
  <c r="F511" i="2"/>
  <c r="M509" i="2"/>
  <c r="G511" i="2"/>
  <c r="G467" i="2"/>
  <c r="L509" i="2"/>
  <c r="L465" i="2"/>
  <c r="O462" i="2"/>
  <c r="G471" i="2"/>
  <c r="G470" i="2"/>
  <c r="N510" i="2"/>
  <c r="F466" i="2"/>
  <c r="F510" i="2"/>
  <c r="M510" i="2"/>
  <c r="M466" i="2"/>
  <c r="D509" i="2"/>
  <c r="D465" i="2"/>
  <c r="E465" i="2"/>
  <c r="E509" i="2"/>
  <c r="D471" i="2"/>
  <c r="F515" i="2"/>
  <c r="D514" i="2"/>
  <c r="P507" i="2"/>
  <c r="P464" i="2"/>
  <c r="Q510" i="2"/>
  <c r="F514" i="2"/>
  <c r="D469" i="2"/>
  <c r="H472" i="2"/>
  <c r="N462" i="2"/>
  <c r="K507" i="2"/>
  <c r="F468" i="2"/>
  <c r="J471" i="2"/>
  <c r="G469" i="2"/>
  <c r="K506" i="2"/>
  <c r="N511" i="2"/>
  <c r="N467" i="2"/>
  <c r="O428" i="2"/>
  <c r="E467" i="2"/>
  <c r="G510" i="2"/>
  <c r="N516" i="2"/>
  <c r="J464" i="2"/>
  <c r="L514" i="2"/>
  <c r="K465" i="2"/>
  <c r="K511" i="2"/>
  <c r="M513" i="2"/>
  <c r="N468" i="2"/>
  <c r="E507" i="2"/>
  <c r="N470" i="2"/>
  <c r="J510" i="2"/>
  <c r="E462" i="2"/>
  <c r="M514" i="2"/>
  <c r="N427" i="2"/>
  <c r="L468" i="2"/>
  <c r="L472" i="2"/>
  <c r="E511" i="2"/>
  <c r="J469" i="2"/>
  <c r="L464" i="2"/>
  <c r="M517" i="2"/>
  <c r="L466" i="2"/>
  <c r="O468" i="2"/>
  <c r="I506" i="2"/>
  <c r="K508" i="2"/>
  <c r="G466" i="2"/>
  <c r="N517" i="2"/>
  <c r="J468" i="2"/>
  <c r="G465" i="2"/>
  <c r="J462" i="2"/>
  <c r="M469" i="2"/>
  <c r="N512" i="2"/>
  <c r="O471" i="2"/>
  <c r="F506" i="2"/>
  <c r="I510" i="2"/>
  <c r="J467" i="2"/>
  <c r="E463" i="2"/>
  <c r="H507" i="2"/>
  <c r="P472" i="2"/>
  <c r="F419" i="2"/>
  <c r="D462" i="2"/>
  <c r="F517" i="2"/>
  <c r="D517" i="2"/>
  <c r="D516" i="2"/>
  <c r="P508" i="2"/>
  <c r="G516" i="2"/>
  <c r="P506" i="2"/>
  <c r="P465" i="2"/>
  <c r="I517" i="2"/>
  <c r="J517" i="2"/>
  <c r="P510" i="2"/>
  <c r="Q511" i="2"/>
  <c r="P511" i="2"/>
  <c r="J516" i="2"/>
  <c r="D512" i="2"/>
  <c r="N506" i="2"/>
  <c r="O466" i="2"/>
  <c r="O510" i="2"/>
  <c r="D467" i="2"/>
  <c r="E513" i="2"/>
  <c r="N465" i="2"/>
  <c r="M508" i="2"/>
  <c r="D510" i="2"/>
  <c r="E512" i="2"/>
  <c r="I513" i="2"/>
  <c r="N466" i="2"/>
  <c r="J463" i="2"/>
  <c r="K516" i="2"/>
  <c r="G512" i="2"/>
  <c r="P513" i="2"/>
  <c r="O507" i="2"/>
  <c r="O465" i="2"/>
  <c r="D468" i="2"/>
  <c r="E466" i="2"/>
  <c r="E510" i="2"/>
  <c r="F473" i="2"/>
  <c r="D473" i="2"/>
  <c r="Q463" i="2"/>
  <c r="G473" i="2"/>
  <c r="G472" i="2"/>
  <c r="O463" i="2"/>
  <c r="O509" i="2"/>
  <c r="H471" i="2"/>
  <c r="O511" i="2"/>
  <c r="K517" i="2"/>
  <c r="L473" i="2"/>
  <c r="L517" i="2"/>
  <c r="E468" i="2"/>
  <c r="M462" i="2"/>
  <c r="M506" i="2"/>
  <c r="N509" i="2"/>
  <c r="D466" i="2"/>
  <c r="P469" i="2"/>
  <c r="Q514" i="2"/>
  <c r="L462" i="2"/>
  <c r="J514" i="2"/>
  <c r="L471" i="2"/>
  <c r="K471" i="2"/>
  <c r="O513" i="2"/>
  <c r="K470" i="2"/>
  <c r="Q515" i="2"/>
  <c r="N472" i="2"/>
  <c r="H467" i="2"/>
  <c r="H511" i="2"/>
  <c r="N473" i="2"/>
  <c r="H510" i="2"/>
  <c r="I463" i="2"/>
  <c r="P514" i="2"/>
  <c r="M472" i="2"/>
  <c r="L470" i="2"/>
  <c r="J512" i="2"/>
  <c r="K469" i="2"/>
  <c r="K513" i="2"/>
  <c r="G509" i="2"/>
  <c r="K509" i="2"/>
  <c r="I508" i="2"/>
  <c r="F509" i="2"/>
  <c r="F513" i="2"/>
  <c r="D508" i="2"/>
  <c r="I511" i="2"/>
  <c r="J508" i="2"/>
  <c r="H466" i="2"/>
  <c r="F464" i="2"/>
  <c r="I507" i="2"/>
  <c r="P515" i="2"/>
  <c r="J506" i="2"/>
  <c r="N469" i="2"/>
  <c r="K467" i="2"/>
  <c r="L467" i="2"/>
  <c r="Q517" i="2"/>
  <c r="Q516" i="2"/>
  <c r="L511" i="2"/>
  <c r="M468" i="2"/>
  <c r="Q473" i="2"/>
  <c r="H508" i="2"/>
  <c r="J423" i="2"/>
  <c r="J465" i="2"/>
  <c r="M512" i="2"/>
  <c r="O514" i="2"/>
  <c r="O470" i="2"/>
  <c r="N514" i="2"/>
  <c r="L512" i="2"/>
  <c r="P516" i="2"/>
  <c r="I509" i="2"/>
  <c r="E506" i="2"/>
  <c r="M426" i="2"/>
  <c r="K512" i="2"/>
  <c r="K424" i="2"/>
  <c r="F507" i="2"/>
  <c r="L513" i="2"/>
  <c r="K466" i="2"/>
  <c r="J466" i="2"/>
  <c r="M470" i="2"/>
  <c r="F463" i="2"/>
  <c r="L469" i="2"/>
  <c r="N515" i="2"/>
  <c r="D82" i="2" l="1"/>
  <c r="H28" i="8" s="1"/>
  <c r="D83" i="2"/>
  <c r="H29" i="8" s="1"/>
  <c r="C55" i="11"/>
  <c r="C57" i="11" s="1"/>
  <c r="C564" i="2"/>
  <c r="AS631" i="2" s="1"/>
  <c r="C388" i="2"/>
  <c r="CB595" i="2" s="1"/>
  <c r="C520" i="2"/>
  <c r="CN622" i="2" s="1"/>
  <c r="C476" i="2"/>
  <c r="AI613" i="2" s="1"/>
  <c r="BZ629" i="2" l="1"/>
  <c r="BY629" i="2"/>
  <c r="AF629" i="2"/>
  <c r="BS629" i="2"/>
  <c r="W629" i="2"/>
  <c r="AS629" i="2"/>
  <c r="BJ631" i="2"/>
  <c r="BF631" i="2"/>
  <c r="U631" i="2"/>
  <c r="AN629" i="2"/>
  <c r="AA631" i="2"/>
  <c r="AW631" i="2"/>
  <c r="Z631" i="2"/>
  <c r="AL631" i="2"/>
  <c r="P631" i="2"/>
  <c r="CL629" i="2"/>
  <c r="CJ629" i="2"/>
  <c r="Z629" i="2"/>
  <c r="AC629" i="2"/>
  <c r="BL629" i="2"/>
  <c r="CN629" i="2"/>
  <c r="BP631" i="2"/>
  <c r="F631" i="2"/>
  <c r="Q629" i="2"/>
  <c r="AX629" i="2"/>
  <c r="AH631" i="2"/>
  <c r="CM631" i="2"/>
  <c r="AD629" i="2"/>
  <c r="CC629" i="2"/>
  <c r="J629" i="2"/>
  <c r="AB629" i="2"/>
  <c r="O631" i="2"/>
  <c r="C566" i="2"/>
  <c r="BK630" i="2" s="1"/>
  <c r="P629" i="2"/>
  <c r="AM629" i="2"/>
  <c r="D631" i="2"/>
  <c r="CD631" i="2"/>
  <c r="BC629" i="2"/>
  <c r="AY631" i="2"/>
  <c r="CP629" i="2"/>
  <c r="BX631" i="2"/>
  <c r="AU629" i="2"/>
  <c r="AK629" i="2"/>
  <c r="BE631" i="2"/>
  <c r="AA629" i="2"/>
  <c r="BS631" i="2"/>
  <c r="BZ631" i="2"/>
  <c r="J631" i="2"/>
  <c r="CA631" i="2"/>
  <c r="N629" i="2"/>
  <c r="M629" i="2"/>
  <c r="X631" i="2"/>
  <c r="AL629" i="2"/>
  <c r="AD631" i="2"/>
  <c r="BD631" i="2"/>
  <c r="CE631" i="2"/>
  <c r="BL631" i="2"/>
  <c r="W631" i="2"/>
  <c r="AN631" i="2"/>
  <c r="T631" i="2"/>
  <c r="AI631" i="2"/>
  <c r="D629" i="2"/>
  <c r="CG631" i="2"/>
  <c r="AI629" i="2"/>
  <c r="Y629" i="2"/>
  <c r="CO631" i="2"/>
  <c r="AC631" i="2"/>
  <c r="BK631" i="2"/>
  <c r="CN631" i="2"/>
  <c r="BU629" i="2"/>
  <c r="I629" i="2"/>
  <c r="BX629" i="2"/>
  <c r="L629" i="2"/>
  <c r="CE629" i="2"/>
  <c r="S629" i="2"/>
  <c r="BJ629" i="2"/>
  <c r="CH629" i="2"/>
  <c r="CP631" i="2"/>
  <c r="BA631" i="2"/>
  <c r="BC631" i="2"/>
  <c r="AW629" i="2"/>
  <c r="CF629" i="2"/>
  <c r="AF631" i="2"/>
  <c r="K629" i="2"/>
  <c r="AP629" i="2"/>
  <c r="Q631" i="2"/>
  <c r="CO629" i="2"/>
  <c r="AO631" i="2"/>
  <c r="BW631" i="2"/>
  <c r="K631" i="2"/>
  <c r="CG629" i="2"/>
  <c r="U629" i="2"/>
  <c r="CK629" i="2"/>
  <c r="X629" i="2"/>
  <c r="H631" i="2"/>
  <c r="AE629" i="2"/>
  <c r="AT631" i="2"/>
  <c r="CI631" i="2"/>
  <c r="L631" i="2"/>
  <c r="BP629" i="2"/>
  <c r="AQ629" i="2"/>
  <c r="BM631" i="2"/>
  <c r="S631" i="2"/>
  <c r="AX631" i="2"/>
  <c r="CD629" i="2"/>
  <c r="BI629" i="2"/>
  <c r="G629" i="2"/>
  <c r="R631" i="2"/>
  <c r="R629" i="2"/>
  <c r="CB629" i="2"/>
  <c r="CJ631" i="2"/>
  <c r="BY631" i="2"/>
  <c r="M631" i="2"/>
  <c r="AU631" i="2"/>
  <c r="BH631" i="2"/>
  <c r="BE629" i="2"/>
  <c r="BV631" i="2"/>
  <c r="BH629" i="2"/>
  <c r="CB631" i="2"/>
  <c r="BO629" i="2"/>
  <c r="CH631" i="2"/>
  <c r="BR631" i="2"/>
  <c r="V629" i="2"/>
  <c r="BR629" i="2"/>
  <c r="AK631" i="2"/>
  <c r="G631" i="2"/>
  <c r="AG629" i="2"/>
  <c r="AZ629" i="2"/>
  <c r="BW629" i="2"/>
  <c r="V631" i="2"/>
  <c r="BB629" i="2"/>
  <c r="CM629" i="2"/>
  <c r="CK631" i="2"/>
  <c r="Y631" i="2"/>
  <c r="BG631" i="2"/>
  <c r="CF631" i="2"/>
  <c r="BQ629" i="2"/>
  <c r="E629" i="2"/>
  <c r="BT629" i="2"/>
  <c r="H629" i="2"/>
  <c r="CA629" i="2"/>
  <c r="O629" i="2"/>
  <c r="BF629" i="2"/>
  <c r="AM631" i="2"/>
  <c r="BM629" i="2"/>
  <c r="AJ629" i="2"/>
  <c r="AH629" i="2"/>
  <c r="AG631" i="2"/>
  <c r="AJ631" i="2"/>
  <c r="AV629" i="2"/>
  <c r="BI631" i="2"/>
  <c r="CI629" i="2"/>
  <c r="AE631" i="2"/>
  <c r="AB631" i="2"/>
  <c r="AO629" i="2"/>
  <c r="AP631" i="2"/>
  <c r="AR629" i="2"/>
  <c r="AV631" i="2"/>
  <c r="AY629" i="2"/>
  <c r="BN629" i="2"/>
  <c r="BV629" i="2"/>
  <c r="AT629" i="2"/>
  <c r="F629" i="2"/>
  <c r="E631" i="2"/>
  <c r="AR631" i="2"/>
  <c r="CL631" i="2"/>
  <c r="T629" i="2"/>
  <c r="BG629" i="2"/>
  <c r="N631" i="2"/>
  <c r="CC631" i="2"/>
  <c r="BO631" i="2"/>
  <c r="BU631" i="2"/>
  <c r="I631" i="2"/>
  <c r="AQ631" i="2"/>
  <c r="AZ631" i="2"/>
  <c r="BA629" i="2"/>
  <c r="BN631" i="2"/>
  <c r="BD629" i="2"/>
  <c r="BT631" i="2"/>
  <c r="BK629" i="2"/>
  <c r="BB631" i="2"/>
  <c r="BQ631" i="2"/>
  <c r="K620" i="2"/>
  <c r="N620" i="2"/>
  <c r="CM595" i="2"/>
  <c r="AR622" i="2"/>
  <c r="AT620" i="2"/>
  <c r="BO622" i="2"/>
  <c r="J620" i="2"/>
  <c r="CC622" i="2"/>
  <c r="AS622" i="2"/>
  <c r="AI622" i="2"/>
  <c r="BQ620" i="2"/>
  <c r="BR622" i="2"/>
  <c r="W620" i="2"/>
  <c r="BL620" i="2"/>
  <c r="I593" i="2"/>
  <c r="D620" i="2"/>
  <c r="CB622" i="2"/>
  <c r="CB620" i="2"/>
  <c r="AH620" i="2"/>
  <c r="AS620" i="2"/>
  <c r="CO622" i="2"/>
  <c r="AW611" i="2"/>
  <c r="L613" i="2"/>
  <c r="AL620" i="2"/>
  <c r="BI622" i="2"/>
  <c r="AM620" i="2"/>
  <c r="X620" i="2"/>
  <c r="Q593" i="2"/>
  <c r="I595" i="2"/>
  <c r="BO611" i="2"/>
  <c r="E595" i="2"/>
  <c r="H611" i="2"/>
  <c r="AX595" i="2"/>
  <c r="AN622" i="2"/>
  <c r="CH620" i="2"/>
  <c r="E622" i="2"/>
  <c r="AT622" i="2"/>
  <c r="BA620" i="2"/>
  <c r="CE622" i="2"/>
  <c r="AC620" i="2"/>
  <c r="AW622" i="2"/>
  <c r="BI620" i="2"/>
  <c r="BL622" i="2"/>
  <c r="BP622" i="2"/>
  <c r="BE622" i="2"/>
  <c r="T620" i="2"/>
  <c r="CA620" i="2"/>
  <c r="AA620" i="2"/>
  <c r="CL622" i="2"/>
  <c r="AG620" i="2"/>
  <c r="AI620" i="2"/>
  <c r="AM622" i="2"/>
  <c r="K622" i="2"/>
  <c r="BB620" i="2"/>
  <c r="BF620" i="2"/>
  <c r="BE620" i="2"/>
  <c r="H620" i="2"/>
  <c r="BM620" i="2"/>
  <c r="I620" i="2"/>
  <c r="Z620" i="2"/>
  <c r="CG622" i="2"/>
  <c r="AA622" i="2"/>
  <c r="BV622" i="2"/>
  <c r="V622" i="2"/>
  <c r="BR620" i="2"/>
  <c r="Y620" i="2"/>
  <c r="CI620" i="2"/>
  <c r="CN620" i="2"/>
  <c r="BN622" i="2"/>
  <c r="AU622" i="2"/>
  <c r="W622" i="2"/>
  <c r="CG620" i="2"/>
  <c r="AZ620" i="2"/>
  <c r="BJ620" i="2"/>
  <c r="M622" i="2"/>
  <c r="BG622" i="2"/>
  <c r="BB622" i="2"/>
  <c r="Q620" i="2"/>
  <c r="BZ620" i="2"/>
  <c r="BP620" i="2"/>
  <c r="O622" i="2"/>
  <c r="BC620" i="2"/>
  <c r="R620" i="2"/>
  <c r="AZ622" i="2"/>
  <c r="AF620" i="2"/>
  <c r="AJ620" i="2"/>
  <c r="P620" i="2"/>
  <c r="AN620" i="2"/>
  <c r="AQ620" i="2"/>
  <c r="M620" i="2"/>
  <c r="CJ620" i="2"/>
  <c r="AO620" i="2"/>
  <c r="BU622" i="2"/>
  <c r="BH622" i="2"/>
  <c r="Y622" i="2"/>
  <c r="X622" i="2"/>
  <c r="O620" i="2"/>
  <c r="V620" i="2"/>
  <c r="BS620" i="2"/>
  <c r="U622" i="2"/>
  <c r="D622" i="2"/>
  <c r="BK622" i="2"/>
  <c r="T622" i="2"/>
  <c r="AK620" i="2"/>
  <c r="AG622" i="2"/>
  <c r="J622" i="2"/>
  <c r="BQ622" i="2"/>
  <c r="BF622" i="2"/>
  <c r="BO620" i="2"/>
  <c r="L620" i="2"/>
  <c r="CD620" i="2"/>
  <c r="BS622" i="2"/>
  <c r="S622" i="2"/>
  <c r="CC620" i="2"/>
  <c r="BJ622" i="2"/>
  <c r="G620" i="2"/>
  <c r="BU620" i="2"/>
  <c r="AY620" i="2"/>
  <c r="BH620" i="2"/>
  <c r="BY620" i="2"/>
  <c r="AP620" i="2"/>
  <c r="BK620" i="2"/>
  <c r="AH622" i="2"/>
  <c r="BA622" i="2"/>
  <c r="CJ622" i="2"/>
  <c r="CP622" i="2"/>
  <c r="BT622" i="2"/>
  <c r="F620" i="2"/>
  <c r="BT620" i="2"/>
  <c r="U620" i="2"/>
  <c r="CH622" i="2"/>
  <c r="AD622" i="2"/>
  <c r="Z622" i="2"/>
  <c r="AX622" i="2"/>
  <c r="CM620" i="2"/>
  <c r="AK622" i="2"/>
  <c r="CK622" i="2"/>
  <c r="AC622" i="2"/>
  <c r="F622" i="2"/>
  <c r="AY622" i="2"/>
  <c r="BM622" i="2"/>
  <c r="CP620" i="2"/>
  <c r="BX620" i="2"/>
  <c r="S620" i="2"/>
  <c r="S611" i="2"/>
  <c r="BY611" i="2"/>
  <c r="S613" i="2"/>
  <c r="AI611" i="2"/>
  <c r="I611" i="2"/>
  <c r="R611" i="2"/>
  <c r="BU611" i="2"/>
  <c r="BV613" i="2"/>
  <c r="CO593" i="2"/>
  <c r="V593" i="2"/>
  <c r="CO595" i="2"/>
  <c r="CO620" i="2"/>
  <c r="AQ622" i="2"/>
  <c r="BD622" i="2"/>
  <c r="BY622" i="2"/>
  <c r="H622" i="2"/>
  <c r="AE622" i="2"/>
  <c r="CD622" i="2"/>
  <c r="AX620" i="2"/>
  <c r="CF620" i="2"/>
  <c r="AD620" i="2"/>
  <c r="BV620" i="2"/>
  <c r="AP622" i="2"/>
  <c r="I622" i="2"/>
  <c r="AV622" i="2"/>
  <c r="R622" i="2"/>
  <c r="Q622" i="2"/>
  <c r="AF622" i="2"/>
  <c r="AO622" i="2"/>
  <c r="E620" i="2"/>
  <c r="AB620" i="2"/>
  <c r="G622" i="2"/>
  <c r="BW620" i="2"/>
  <c r="CK620" i="2"/>
  <c r="CL611" i="2"/>
  <c r="AR611" i="2"/>
  <c r="AT611" i="2"/>
  <c r="BA611" i="2"/>
  <c r="CM611" i="2"/>
  <c r="AK613" i="2"/>
  <c r="J613" i="2"/>
  <c r="BZ593" i="2"/>
  <c r="BK593" i="2"/>
  <c r="AD595" i="2"/>
  <c r="N622" i="2"/>
  <c r="AU620" i="2"/>
  <c r="CA622" i="2"/>
  <c r="C522" i="2"/>
  <c r="CI622" i="2"/>
  <c r="BZ622" i="2"/>
  <c r="BC622" i="2"/>
  <c r="AL622" i="2"/>
  <c r="CF622" i="2"/>
  <c r="AJ622" i="2"/>
  <c r="BW622" i="2"/>
  <c r="P622" i="2"/>
  <c r="AR620" i="2"/>
  <c r="BG620" i="2"/>
  <c r="BD620" i="2"/>
  <c r="BX622" i="2"/>
  <c r="AB622" i="2"/>
  <c r="CE620" i="2"/>
  <c r="L622" i="2"/>
  <c r="BN620" i="2"/>
  <c r="AE620" i="2"/>
  <c r="AV620" i="2"/>
  <c r="CM622" i="2"/>
  <c r="AW620" i="2"/>
  <c r="CL620" i="2"/>
  <c r="AQ611" i="2"/>
  <c r="E611" i="2"/>
  <c r="V611" i="2"/>
  <c r="AN611" i="2"/>
  <c r="BM611" i="2"/>
  <c r="CN611" i="2"/>
  <c r="AY611" i="2"/>
  <c r="BX611" i="2"/>
  <c r="AM611" i="2"/>
  <c r="O611" i="2"/>
  <c r="BP611" i="2"/>
  <c r="CB611" i="2"/>
  <c r="AA611" i="2"/>
  <c r="CC611" i="2"/>
  <c r="C478" i="2"/>
  <c r="BI612" i="2" s="1"/>
  <c r="AU613" i="2"/>
  <c r="U613" i="2"/>
  <c r="AM613" i="2"/>
  <c r="AV613" i="2"/>
  <c r="CK613" i="2"/>
  <c r="BB593" i="2"/>
  <c r="S593" i="2"/>
  <c r="AN593" i="2"/>
  <c r="Y593" i="2"/>
  <c r="BA593" i="2"/>
  <c r="CF593" i="2"/>
  <c r="AO595" i="2"/>
  <c r="AZ595" i="2"/>
  <c r="F595" i="2"/>
  <c r="AL595" i="2"/>
  <c r="AP595" i="2"/>
  <c r="BG595" i="2"/>
  <c r="AB611" i="2"/>
  <c r="AF611" i="2"/>
  <c r="BE611" i="2"/>
  <c r="G611" i="2"/>
  <c r="AK611" i="2"/>
  <c r="U611" i="2"/>
  <c r="CD611" i="2"/>
  <c r="CK611" i="2"/>
  <c r="BQ611" i="2"/>
  <c r="BZ611" i="2"/>
  <c r="BT611" i="2"/>
  <c r="CO611" i="2"/>
  <c r="CG611" i="2"/>
  <c r="CP611" i="2"/>
  <c r="W613" i="2"/>
  <c r="AC613" i="2"/>
  <c r="X613" i="2"/>
  <c r="CB613" i="2"/>
  <c r="Q613" i="2"/>
  <c r="G593" i="2"/>
  <c r="AA593" i="2"/>
  <c r="BD593" i="2"/>
  <c r="AU593" i="2"/>
  <c r="BJ593" i="2"/>
  <c r="BG593" i="2"/>
  <c r="BW595" i="2"/>
  <c r="BU595" i="2"/>
  <c r="CF595" i="2"/>
  <c r="AK595" i="2"/>
  <c r="V613" i="2"/>
  <c r="BD613" i="2"/>
  <c r="AQ613" i="2"/>
  <c r="BT613" i="2"/>
  <c r="CF613" i="2"/>
  <c r="AS613" i="2"/>
  <c r="O613" i="2"/>
  <c r="AR613" i="2"/>
  <c r="D613" i="2"/>
  <c r="BI613" i="2"/>
  <c r="BG613" i="2"/>
  <c r="CN613" i="2"/>
  <c r="AX613" i="2"/>
  <c r="N613" i="2"/>
  <c r="BJ613" i="2"/>
  <c r="AB613" i="2"/>
  <c r="BL613" i="2"/>
  <c r="H613" i="2"/>
  <c r="CC613" i="2"/>
  <c r="AZ613" i="2"/>
  <c r="BR613" i="2"/>
  <c r="G613" i="2"/>
  <c r="CP613" i="2"/>
  <c r="BR611" i="2"/>
  <c r="AU611" i="2"/>
  <c r="Q611" i="2"/>
  <c r="BH611" i="2"/>
  <c r="BI611" i="2"/>
  <c r="BD611" i="2"/>
  <c r="AL613" i="2"/>
  <c r="BC613" i="2"/>
  <c r="CE613" i="2"/>
  <c r="CA613" i="2"/>
  <c r="CO613" i="2"/>
  <c r="BA613" i="2"/>
  <c r="BZ613" i="2"/>
  <c r="BX613" i="2"/>
  <c r="BH613" i="2"/>
  <c r="BS613" i="2"/>
  <c r="M613" i="2"/>
  <c r="AP613" i="2"/>
  <c r="T613" i="2"/>
  <c r="R613" i="2"/>
  <c r="I613" i="2"/>
  <c r="AH613" i="2"/>
  <c r="BN613" i="2"/>
  <c r="CJ613" i="2"/>
  <c r="BY613" i="2"/>
  <c r="BM613" i="2"/>
  <c r="BB613" i="2"/>
  <c r="AF613" i="2"/>
  <c r="AE613" i="2"/>
  <c r="BV611" i="2"/>
  <c r="BK611" i="2"/>
  <c r="BC611" i="2"/>
  <c r="Y611" i="2"/>
  <c r="X611" i="2"/>
  <c r="AX611" i="2"/>
  <c r="CH611" i="2"/>
  <c r="BN611" i="2"/>
  <c r="AD611" i="2"/>
  <c r="BS611" i="2"/>
  <c r="AZ611" i="2"/>
  <c r="M611" i="2"/>
  <c r="BJ611" i="2"/>
  <c r="F611" i="2"/>
  <c r="AG611" i="2"/>
  <c r="BF611" i="2"/>
  <c r="BB611" i="2"/>
  <c r="CA611" i="2"/>
  <c r="K611" i="2"/>
  <c r="J611" i="2"/>
  <c r="AC611" i="2"/>
  <c r="P611" i="2"/>
  <c r="D611" i="2"/>
  <c r="BP613" i="2"/>
  <c r="BE613" i="2"/>
  <c r="F613" i="2"/>
  <c r="AW613" i="2"/>
  <c r="CM613" i="2"/>
  <c r="BF613" i="2"/>
  <c r="E613" i="2"/>
  <c r="AY613" i="2"/>
  <c r="CL613" i="2"/>
  <c r="AN613" i="2"/>
  <c r="AG613" i="2"/>
  <c r="CD613" i="2"/>
  <c r="Y613" i="2"/>
  <c r="CG613" i="2"/>
  <c r="AO613" i="2"/>
  <c r="BQ613" i="2"/>
  <c r="P613" i="2"/>
  <c r="BW613" i="2"/>
  <c r="CH613" i="2"/>
  <c r="AJ613" i="2"/>
  <c r="CI613" i="2"/>
  <c r="BU613" i="2"/>
  <c r="BO613" i="2"/>
  <c r="BW611" i="2"/>
  <c r="BG611" i="2"/>
  <c r="AV611" i="2"/>
  <c r="AJ611" i="2"/>
  <c r="AH611" i="2"/>
  <c r="AL611" i="2"/>
  <c r="BA595" i="2"/>
  <c r="BM595" i="2"/>
  <c r="AS595" i="2"/>
  <c r="AM595" i="2"/>
  <c r="CE595" i="2"/>
  <c r="CI595" i="2"/>
  <c r="J595" i="2"/>
  <c r="BS595" i="2"/>
  <c r="AA595" i="2"/>
  <c r="BJ595" i="2"/>
  <c r="G595" i="2"/>
  <c r="M595" i="2"/>
  <c r="CD595" i="2"/>
  <c r="H595" i="2"/>
  <c r="AH595" i="2"/>
  <c r="V595" i="2"/>
  <c r="BP595" i="2"/>
  <c r="BI595" i="2"/>
  <c r="Z595" i="2"/>
  <c r="AE595" i="2"/>
  <c r="P595" i="2"/>
  <c r="BQ595" i="2"/>
  <c r="R595" i="2"/>
  <c r="AI593" i="2"/>
  <c r="CM593" i="2"/>
  <c r="BM593" i="2"/>
  <c r="AD593" i="2"/>
  <c r="K593" i="2"/>
  <c r="CK593" i="2"/>
  <c r="T593" i="2"/>
  <c r="BP593" i="2"/>
  <c r="AZ593" i="2"/>
  <c r="CJ593" i="2"/>
  <c r="BW593" i="2"/>
  <c r="CD593" i="2"/>
  <c r="BL593" i="2"/>
  <c r="W593" i="2"/>
  <c r="CB593" i="2"/>
  <c r="AR593" i="2"/>
  <c r="AP593" i="2"/>
  <c r="CH593" i="2"/>
  <c r="F593" i="2"/>
  <c r="BI593" i="2"/>
  <c r="BE593" i="2"/>
  <c r="D593" i="2"/>
  <c r="AK593" i="2"/>
  <c r="AY595" i="2"/>
  <c r="AQ595" i="2"/>
  <c r="AJ595" i="2"/>
  <c r="BK595" i="2"/>
  <c r="AW595" i="2"/>
  <c r="AR595" i="2"/>
  <c r="D595" i="2"/>
  <c r="CC595" i="2"/>
  <c r="N595" i="2"/>
  <c r="BO595" i="2"/>
  <c r="BZ595" i="2"/>
  <c r="W595" i="2"/>
  <c r="AB595" i="2"/>
  <c r="T595" i="2"/>
  <c r="AT595" i="2"/>
  <c r="S595" i="2"/>
  <c r="CK595" i="2"/>
  <c r="AU595" i="2"/>
  <c r="AF595" i="2"/>
  <c r="AN595" i="2"/>
  <c r="BT595" i="2"/>
  <c r="BF595" i="2"/>
  <c r="J593" i="2"/>
  <c r="BT593" i="2"/>
  <c r="AJ593" i="2"/>
  <c r="BH593" i="2"/>
  <c r="Z593" i="2"/>
  <c r="O593" i="2"/>
  <c r="R593" i="2"/>
  <c r="AY593" i="2"/>
  <c r="CG593" i="2"/>
  <c r="AW593" i="2"/>
  <c r="BX593" i="2"/>
  <c r="M593" i="2"/>
  <c r="BR593" i="2"/>
  <c r="BQ593" i="2"/>
  <c r="BN593" i="2"/>
  <c r="AV593" i="2"/>
  <c r="AO593" i="2"/>
  <c r="CC593" i="2"/>
  <c r="CI593" i="2"/>
  <c r="H593" i="2"/>
  <c r="U593" i="2"/>
  <c r="BU593" i="2"/>
  <c r="L593" i="2"/>
  <c r="CP595" i="2"/>
  <c r="AG595" i="2"/>
  <c r="CJ595" i="2"/>
  <c r="BY595" i="2"/>
  <c r="BL595" i="2"/>
  <c r="U595" i="2"/>
  <c r="AI595" i="2"/>
  <c r="BN595" i="2"/>
  <c r="CG595" i="2"/>
  <c r="CH595" i="2"/>
  <c r="L595" i="2"/>
  <c r="CA595" i="2"/>
  <c r="BB595" i="2"/>
  <c r="BD595" i="2"/>
  <c r="CL595" i="2"/>
  <c r="BX595" i="2"/>
  <c r="BC595" i="2"/>
  <c r="Q595" i="2"/>
  <c r="BR595" i="2"/>
  <c r="X595" i="2"/>
  <c r="O595" i="2"/>
  <c r="BV595" i="2"/>
  <c r="BH595" i="2"/>
  <c r="AM593" i="2"/>
  <c r="C390" i="2"/>
  <c r="CN593" i="2"/>
  <c r="BY593" i="2"/>
  <c r="N593" i="2"/>
  <c r="CL593" i="2"/>
  <c r="AB593" i="2"/>
  <c r="AC593" i="2"/>
  <c r="AG593" i="2"/>
  <c r="CP593" i="2"/>
  <c r="AT593" i="2"/>
  <c r="AL593" i="2"/>
  <c r="AH593" i="2"/>
  <c r="AF593" i="2"/>
  <c r="X593" i="2"/>
  <c r="BO593" i="2"/>
  <c r="CE593" i="2"/>
  <c r="E593" i="2"/>
  <c r="BV593" i="2"/>
  <c r="CA593" i="2"/>
  <c r="AX593" i="2"/>
  <c r="BC593" i="2"/>
  <c r="BS593" i="2"/>
  <c r="CF611" i="2"/>
  <c r="W611" i="2"/>
  <c r="L611" i="2"/>
  <c r="CI611" i="2"/>
  <c r="Z611" i="2"/>
  <c r="AS611" i="2"/>
  <c r="AP611" i="2"/>
  <c r="N611" i="2"/>
  <c r="BL611" i="2"/>
  <c r="CJ611" i="2"/>
  <c r="AO611" i="2"/>
  <c r="AE611" i="2"/>
  <c r="CE611" i="2"/>
  <c r="T611" i="2"/>
  <c r="Z613" i="2"/>
  <c r="AD613" i="2"/>
  <c r="K613" i="2"/>
  <c r="AT613" i="2"/>
  <c r="AA613" i="2"/>
  <c r="BK613" i="2"/>
  <c r="AE593" i="2"/>
  <c r="P593" i="2"/>
  <c r="AS593" i="2"/>
  <c r="BF593" i="2"/>
  <c r="AQ593" i="2"/>
  <c r="AV595" i="2"/>
  <c r="AC595" i="2"/>
  <c r="CN595" i="2"/>
  <c r="Y595" i="2"/>
  <c r="K595" i="2"/>
  <c r="BE595" i="2"/>
  <c r="W630" i="2" l="1"/>
  <c r="W632" i="2" s="1"/>
  <c r="W658" i="2" s="1"/>
  <c r="W672" i="2" s="1"/>
  <c r="W708" i="2" s="1"/>
  <c r="AN630" i="2"/>
  <c r="AN632" i="2" s="1"/>
  <c r="AN658" i="2" s="1"/>
  <c r="AN672" i="2" s="1"/>
  <c r="AN708" i="2" s="1"/>
  <c r="BH630" i="2"/>
  <c r="BH632" i="2" s="1"/>
  <c r="BH658" i="2" s="1"/>
  <c r="BH672" i="2" s="1"/>
  <c r="BH708" i="2" s="1"/>
  <c r="BV630" i="2"/>
  <c r="BV632" i="2" s="1"/>
  <c r="BV658" i="2" s="1"/>
  <c r="BV672" i="2" s="1"/>
  <c r="BV708" i="2" s="1"/>
  <c r="L594" i="2"/>
  <c r="L596" i="2" s="1"/>
  <c r="J594" i="2"/>
  <c r="J596" i="2" s="1"/>
  <c r="J654" i="2" s="1"/>
  <c r="CA630" i="2"/>
  <c r="CA632" i="2" s="1"/>
  <c r="CA658" i="2" s="1"/>
  <c r="CA672" i="2" s="1"/>
  <c r="CA708" i="2" s="1"/>
  <c r="AD630" i="2"/>
  <c r="AD632" i="2" s="1"/>
  <c r="AD658" i="2" s="1"/>
  <c r="AD672" i="2" s="1"/>
  <c r="AD708" i="2" s="1"/>
  <c r="AB630" i="2"/>
  <c r="AB632" i="2" s="1"/>
  <c r="AB658" i="2" s="1"/>
  <c r="AB672" i="2" s="1"/>
  <c r="AB708" i="2" s="1"/>
  <c r="CB630" i="2"/>
  <c r="CB632" i="2" s="1"/>
  <c r="CB658" i="2" s="1"/>
  <c r="CB672" i="2" s="1"/>
  <c r="CB708" i="2" s="1"/>
  <c r="AG630" i="2"/>
  <c r="AG632" i="2" s="1"/>
  <c r="AG658" i="2" s="1"/>
  <c r="AG672" i="2" s="1"/>
  <c r="AG708" i="2" s="1"/>
  <c r="AV630" i="2"/>
  <c r="AV632" i="2" s="1"/>
  <c r="AV658" i="2" s="1"/>
  <c r="AV672" i="2" s="1"/>
  <c r="AV708" i="2" s="1"/>
  <c r="AM630" i="2"/>
  <c r="AM632" i="2" s="1"/>
  <c r="AM658" i="2" s="1"/>
  <c r="AM672" i="2" s="1"/>
  <c r="AM708" i="2" s="1"/>
  <c r="T630" i="2"/>
  <c r="T632" i="2" s="1"/>
  <c r="T658" i="2" s="1"/>
  <c r="T672" i="2" s="1"/>
  <c r="T708" i="2" s="1"/>
  <c r="BA630" i="2"/>
  <c r="BA632" i="2" s="1"/>
  <c r="BA658" i="2" s="1"/>
  <c r="BA672" i="2" s="1"/>
  <c r="BA708" i="2" s="1"/>
  <c r="AR630" i="2"/>
  <c r="AR632" i="2" s="1"/>
  <c r="AR658" i="2" s="1"/>
  <c r="AR672" i="2" s="1"/>
  <c r="AR708" i="2" s="1"/>
  <c r="AP630" i="2"/>
  <c r="AP632" i="2" s="1"/>
  <c r="AP658" i="2" s="1"/>
  <c r="AP672" i="2" s="1"/>
  <c r="AP708" i="2" s="1"/>
  <c r="CG630" i="2"/>
  <c r="CG632" i="2" s="1"/>
  <c r="CG658" i="2" s="1"/>
  <c r="CG672" i="2" s="1"/>
  <c r="CG708" i="2" s="1"/>
  <c r="O630" i="2"/>
  <c r="O632" i="2" s="1"/>
  <c r="O658" i="2" s="1"/>
  <c r="O672" i="2" s="1"/>
  <c r="O708" i="2" s="1"/>
  <c r="BU630" i="2"/>
  <c r="BU632" i="2" s="1"/>
  <c r="BU658" i="2" s="1"/>
  <c r="BU672" i="2" s="1"/>
  <c r="BU708" i="2" s="1"/>
  <c r="CH630" i="2"/>
  <c r="CH632" i="2" s="1"/>
  <c r="CH658" i="2" s="1"/>
  <c r="CH672" i="2" s="1"/>
  <c r="CH708" i="2" s="1"/>
  <c r="AK630" i="2"/>
  <c r="AK632" i="2" s="1"/>
  <c r="AK658" i="2" s="1"/>
  <c r="AK672" i="2" s="1"/>
  <c r="AK708" i="2" s="1"/>
  <c r="BZ630" i="2"/>
  <c r="BZ632" i="2" s="1"/>
  <c r="BZ658" i="2" s="1"/>
  <c r="BZ672" i="2" s="1"/>
  <c r="BZ708" i="2" s="1"/>
  <c r="BJ630" i="2"/>
  <c r="BJ632" i="2" s="1"/>
  <c r="BJ658" i="2" s="1"/>
  <c r="BJ672" i="2" s="1"/>
  <c r="BJ708" i="2" s="1"/>
  <c r="AF630" i="2"/>
  <c r="AF632" i="2" s="1"/>
  <c r="AF658" i="2" s="1"/>
  <c r="AF672" i="2" s="1"/>
  <c r="AF708" i="2" s="1"/>
  <c r="CM630" i="2"/>
  <c r="CM632" i="2" s="1"/>
  <c r="CM658" i="2" s="1"/>
  <c r="CM672" i="2" s="1"/>
  <c r="CM708" i="2" s="1"/>
  <c r="M630" i="2"/>
  <c r="M632" i="2" s="1"/>
  <c r="M658" i="2" s="1"/>
  <c r="M672" i="2" s="1"/>
  <c r="M708" i="2" s="1"/>
  <c r="AI630" i="2"/>
  <c r="AI632" i="2" s="1"/>
  <c r="AI658" i="2" s="1"/>
  <c r="AI672" i="2" s="1"/>
  <c r="AI708" i="2" s="1"/>
  <c r="AT630" i="2"/>
  <c r="AT632" i="2" s="1"/>
  <c r="AT658" i="2" s="1"/>
  <c r="AT672" i="2" s="1"/>
  <c r="AT708" i="2" s="1"/>
  <c r="AX630" i="2"/>
  <c r="AX632" i="2" s="1"/>
  <c r="AX658" i="2" s="1"/>
  <c r="AX672" i="2" s="1"/>
  <c r="AX708" i="2" s="1"/>
  <c r="AL630" i="2"/>
  <c r="AL632" i="2" s="1"/>
  <c r="AL658" i="2" s="1"/>
  <c r="AL672" i="2" s="1"/>
  <c r="AL708" i="2" s="1"/>
  <c r="P630" i="2"/>
  <c r="P632" i="2" s="1"/>
  <c r="P658" i="2" s="1"/>
  <c r="P672" i="2" s="1"/>
  <c r="P708" i="2" s="1"/>
  <c r="AC630" i="2"/>
  <c r="AC632" i="2" s="1"/>
  <c r="AC658" i="2" s="1"/>
  <c r="AC672" i="2" s="1"/>
  <c r="AC708" i="2" s="1"/>
  <c r="CL630" i="2"/>
  <c r="CL632" i="2" s="1"/>
  <c r="CL658" i="2" s="1"/>
  <c r="CL672" i="2" s="1"/>
  <c r="CL708" i="2" s="1"/>
  <c r="BC630" i="2"/>
  <c r="BC632" i="2" s="1"/>
  <c r="BC658" i="2" s="1"/>
  <c r="BC672" i="2" s="1"/>
  <c r="BC708" i="2" s="1"/>
  <c r="I630" i="2"/>
  <c r="I632" i="2" s="1"/>
  <c r="I658" i="2" s="1"/>
  <c r="I672" i="2" s="1"/>
  <c r="I708" i="2" s="1"/>
  <c r="J630" i="2"/>
  <c r="J632" i="2" s="1"/>
  <c r="J658" i="2" s="1"/>
  <c r="J672" i="2" s="1"/>
  <c r="J708" i="2" s="1"/>
  <c r="AH630" i="2"/>
  <c r="AH632" i="2" s="1"/>
  <c r="AH658" i="2" s="1"/>
  <c r="AH672" i="2" s="1"/>
  <c r="AH708" i="2" s="1"/>
  <c r="AO630" i="2"/>
  <c r="AO632" i="2" s="1"/>
  <c r="AO658" i="2" s="1"/>
  <c r="AO672" i="2" s="1"/>
  <c r="AO708" i="2" s="1"/>
  <c r="Q630" i="2"/>
  <c r="Q632" i="2" s="1"/>
  <c r="Q658" i="2" s="1"/>
  <c r="Q672" i="2" s="1"/>
  <c r="Q708" i="2" s="1"/>
  <c r="BF630" i="2"/>
  <c r="BF632" i="2" s="1"/>
  <c r="BF658" i="2" s="1"/>
  <c r="BF672" i="2" s="1"/>
  <c r="BF708" i="2" s="1"/>
  <c r="AQ630" i="2"/>
  <c r="AQ632" i="2" s="1"/>
  <c r="AQ658" i="2" s="1"/>
  <c r="AQ672" i="2" s="1"/>
  <c r="AQ708" i="2" s="1"/>
  <c r="U630" i="2"/>
  <c r="U632" i="2" s="1"/>
  <c r="U658" i="2" s="1"/>
  <c r="U672" i="2" s="1"/>
  <c r="U708" i="2" s="1"/>
  <c r="BW630" i="2"/>
  <c r="BW632" i="2" s="1"/>
  <c r="BW658" i="2" s="1"/>
  <c r="BW672" i="2" s="1"/>
  <c r="BW708" i="2" s="1"/>
  <c r="BN630" i="2"/>
  <c r="BN632" i="2" s="1"/>
  <c r="BN658" i="2" s="1"/>
  <c r="BN672" i="2" s="1"/>
  <c r="BN708" i="2" s="1"/>
  <c r="E630" i="2"/>
  <c r="E632" i="2" s="1"/>
  <c r="E658" i="2" s="1"/>
  <c r="E672" i="2" s="1"/>
  <c r="E708" i="2" s="1"/>
  <c r="CE630" i="2"/>
  <c r="CE632" i="2" s="1"/>
  <c r="CE658" i="2" s="1"/>
  <c r="CE672" i="2" s="1"/>
  <c r="CE708" i="2" s="1"/>
  <c r="AJ630" i="2"/>
  <c r="AJ632" i="2" s="1"/>
  <c r="AJ658" i="2" s="1"/>
  <c r="AJ672" i="2" s="1"/>
  <c r="AJ708" i="2" s="1"/>
  <c r="AU630" i="2"/>
  <c r="AU632" i="2" s="1"/>
  <c r="AU658" i="2" s="1"/>
  <c r="AU672" i="2" s="1"/>
  <c r="AU708" i="2" s="1"/>
  <c r="AS630" i="2"/>
  <c r="AS632" i="2" s="1"/>
  <c r="AS658" i="2" s="1"/>
  <c r="AS672" i="2" s="1"/>
  <c r="AS708" i="2" s="1"/>
  <c r="G630" i="2"/>
  <c r="G632" i="2" s="1"/>
  <c r="G658" i="2" s="1"/>
  <c r="G672" i="2" s="1"/>
  <c r="G708" i="2" s="1"/>
  <c r="AA630" i="2"/>
  <c r="AA632" i="2" s="1"/>
  <c r="AA658" i="2" s="1"/>
  <c r="AA672" i="2" s="1"/>
  <c r="AA708" i="2" s="1"/>
  <c r="CN630" i="2"/>
  <c r="CN632" i="2" s="1"/>
  <c r="CN658" i="2" s="1"/>
  <c r="CN672" i="2" s="1"/>
  <c r="CN708" i="2" s="1"/>
  <c r="BE630" i="2"/>
  <c r="BE632" i="2" s="1"/>
  <c r="BE658" i="2" s="1"/>
  <c r="BE672" i="2" s="1"/>
  <c r="BE708" i="2" s="1"/>
  <c r="CD630" i="2"/>
  <c r="CD632" i="2" s="1"/>
  <c r="CD658" i="2" s="1"/>
  <c r="CD672" i="2" s="1"/>
  <c r="CD708" i="2" s="1"/>
  <c r="H630" i="2"/>
  <c r="H632" i="2" s="1"/>
  <c r="H658" i="2" s="1"/>
  <c r="H672" i="2" s="1"/>
  <c r="H708" i="2" s="1"/>
  <c r="AZ630" i="2"/>
  <c r="AZ632" i="2" s="1"/>
  <c r="AZ658" i="2" s="1"/>
  <c r="AZ672" i="2" s="1"/>
  <c r="AZ708" i="2" s="1"/>
  <c r="Y630" i="2"/>
  <c r="Y632" i="2" s="1"/>
  <c r="Y658" i="2" s="1"/>
  <c r="Y672" i="2" s="1"/>
  <c r="Y708" i="2" s="1"/>
  <c r="BQ630" i="2"/>
  <c r="BQ632" i="2" s="1"/>
  <c r="BQ658" i="2" s="1"/>
  <c r="BQ672" i="2" s="1"/>
  <c r="BQ708" i="2" s="1"/>
  <c r="N630" i="2"/>
  <c r="N632" i="2" s="1"/>
  <c r="N658" i="2" s="1"/>
  <c r="N672" i="2" s="1"/>
  <c r="N708" i="2" s="1"/>
  <c r="AY630" i="2"/>
  <c r="AY632" i="2" s="1"/>
  <c r="AY658" i="2" s="1"/>
  <c r="AY672" i="2" s="1"/>
  <c r="AY708" i="2" s="1"/>
  <c r="BX630" i="2"/>
  <c r="BX632" i="2" s="1"/>
  <c r="BX658" i="2" s="1"/>
  <c r="BX672" i="2" s="1"/>
  <c r="BX708" i="2" s="1"/>
  <c r="BY630" i="2"/>
  <c r="BY632" i="2" s="1"/>
  <c r="BY658" i="2" s="1"/>
  <c r="BY672" i="2" s="1"/>
  <c r="BY708" i="2" s="1"/>
  <c r="Z630" i="2"/>
  <c r="Z632" i="2" s="1"/>
  <c r="Z658" i="2" s="1"/>
  <c r="Z672" i="2" s="1"/>
  <c r="Z708" i="2" s="1"/>
  <c r="L630" i="2"/>
  <c r="L632" i="2" s="1"/>
  <c r="L658" i="2" s="1"/>
  <c r="L672" i="2" s="1"/>
  <c r="L708" i="2" s="1"/>
  <c r="CI630" i="2"/>
  <c r="CI632" i="2" s="1"/>
  <c r="CI658" i="2" s="1"/>
  <c r="CI672" i="2" s="1"/>
  <c r="CI708" i="2" s="1"/>
  <c r="BI630" i="2"/>
  <c r="BI632" i="2" s="1"/>
  <c r="BI658" i="2" s="1"/>
  <c r="BI672" i="2" s="1"/>
  <c r="BI708" i="2" s="1"/>
  <c r="BL630" i="2"/>
  <c r="BL632" i="2" s="1"/>
  <c r="BL658" i="2" s="1"/>
  <c r="BL672" i="2" s="1"/>
  <c r="BL708" i="2" s="1"/>
  <c r="CC630" i="2"/>
  <c r="CC632" i="2" s="1"/>
  <c r="CC658" i="2" s="1"/>
  <c r="CC672" i="2" s="1"/>
  <c r="CC708" i="2" s="1"/>
  <c r="CP630" i="2"/>
  <c r="CP632" i="2" s="1"/>
  <c r="CP658" i="2" s="1"/>
  <c r="CP672" i="2" s="1"/>
  <c r="CP708" i="2" s="1"/>
  <c r="R630" i="2"/>
  <c r="R632" i="2" s="1"/>
  <c r="R658" i="2" s="1"/>
  <c r="R672" i="2" s="1"/>
  <c r="R708" i="2" s="1"/>
  <c r="S630" i="2"/>
  <c r="S632" i="2" s="1"/>
  <c r="S658" i="2" s="1"/>
  <c r="S672" i="2" s="1"/>
  <c r="S708" i="2" s="1"/>
  <c r="CJ630" i="2"/>
  <c r="CJ632" i="2" s="1"/>
  <c r="CJ658" i="2" s="1"/>
  <c r="CJ672" i="2" s="1"/>
  <c r="CJ708" i="2" s="1"/>
  <c r="AW630" i="2"/>
  <c r="AW632" i="2" s="1"/>
  <c r="AW658" i="2" s="1"/>
  <c r="AW672" i="2" s="1"/>
  <c r="AW708" i="2" s="1"/>
  <c r="CO630" i="2"/>
  <c r="CO632" i="2" s="1"/>
  <c r="CO658" i="2" s="1"/>
  <c r="CO672" i="2" s="1"/>
  <c r="CO708" i="2" s="1"/>
  <c r="D630" i="2"/>
  <c r="D632" i="2" s="1"/>
  <c r="D658" i="2" s="1"/>
  <c r="D672" i="2" s="1"/>
  <c r="D708" i="2" s="1"/>
  <c r="BB630" i="2"/>
  <c r="BB632" i="2" s="1"/>
  <c r="BB658" i="2" s="1"/>
  <c r="BB672" i="2" s="1"/>
  <c r="BB708" i="2" s="1"/>
  <c r="AE630" i="2"/>
  <c r="AE632" i="2" s="1"/>
  <c r="AE658" i="2" s="1"/>
  <c r="AE672" i="2" s="1"/>
  <c r="AE708" i="2" s="1"/>
  <c r="BR630" i="2"/>
  <c r="BR632" i="2" s="1"/>
  <c r="BR658" i="2" s="1"/>
  <c r="BR672" i="2" s="1"/>
  <c r="BR708" i="2" s="1"/>
  <c r="BS630" i="2"/>
  <c r="BS632" i="2" s="1"/>
  <c r="BS658" i="2" s="1"/>
  <c r="BS672" i="2" s="1"/>
  <c r="BS708" i="2" s="1"/>
  <c r="BP630" i="2"/>
  <c r="BP632" i="2" s="1"/>
  <c r="BP658" i="2" s="1"/>
  <c r="BP672" i="2" s="1"/>
  <c r="BP708" i="2" s="1"/>
  <c r="BT630" i="2"/>
  <c r="BT632" i="2" s="1"/>
  <c r="BT658" i="2" s="1"/>
  <c r="BT672" i="2" s="1"/>
  <c r="BT708" i="2" s="1"/>
  <c r="BM630" i="2"/>
  <c r="BM632" i="2" s="1"/>
  <c r="BM658" i="2" s="1"/>
  <c r="BM672" i="2" s="1"/>
  <c r="BM708" i="2" s="1"/>
  <c r="BD630" i="2"/>
  <c r="BD632" i="2" s="1"/>
  <c r="BD658" i="2" s="1"/>
  <c r="BD672" i="2" s="1"/>
  <c r="BD708" i="2" s="1"/>
  <c r="CK630" i="2"/>
  <c r="CK632" i="2" s="1"/>
  <c r="CK658" i="2" s="1"/>
  <c r="CK672" i="2" s="1"/>
  <c r="CK708" i="2" s="1"/>
  <c r="K630" i="2"/>
  <c r="K632" i="2" s="1"/>
  <c r="K658" i="2" s="1"/>
  <c r="K672" i="2" s="1"/>
  <c r="K708" i="2" s="1"/>
  <c r="BG630" i="2"/>
  <c r="BG632" i="2" s="1"/>
  <c r="BG658" i="2" s="1"/>
  <c r="BG672" i="2" s="1"/>
  <c r="BG708" i="2" s="1"/>
  <c r="V630" i="2"/>
  <c r="V632" i="2" s="1"/>
  <c r="V658" i="2" s="1"/>
  <c r="V672" i="2" s="1"/>
  <c r="V708" i="2" s="1"/>
  <c r="CF630" i="2"/>
  <c r="CF632" i="2" s="1"/>
  <c r="CF658" i="2" s="1"/>
  <c r="CF672" i="2" s="1"/>
  <c r="CF708" i="2" s="1"/>
  <c r="X630" i="2"/>
  <c r="X632" i="2" s="1"/>
  <c r="X658" i="2" s="1"/>
  <c r="X672" i="2" s="1"/>
  <c r="X708" i="2" s="1"/>
  <c r="F630" i="2"/>
  <c r="F632" i="2" s="1"/>
  <c r="F658" i="2" s="1"/>
  <c r="F672" i="2" s="1"/>
  <c r="F708" i="2" s="1"/>
  <c r="BO630" i="2"/>
  <c r="BO632" i="2" s="1"/>
  <c r="BO658" i="2" s="1"/>
  <c r="BO672" i="2" s="1"/>
  <c r="BO708" i="2" s="1"/>
  <c r="BK632" i="2"/>
  <c r="BK658" i="2" s="1"/>
  <c r="BK672" i="2" s="1"/>
  <c r="BK708" i="2" s="1"/>
  <c r="AZ594" i="2"/>
  <c r="AZ596" i="2" s="1"/>
  <c r="BP612" i="2"/>
  <c r="BP614" i="2" s="1"/>
  <c r="AO594" i="2"/>
  <c r="AO596" i="2" s="1"/>
  <c r="BV594" i="2"/>
  <c r="BV596" i="2" s="1"/>
  <c r="J612" i="2"/>
  <c r="J614" i="2" s="1"/>
  <c r="BX612" i="2"/>
  <c r="BX614" i="2" s="1"/>
  <c r="V594" i="2"/>
  <c r="V596" i="2" s="1"/>
  <c r="BS594" i="2"/>
  <c r="BS596" i="2" s="1"/>
  <c r="AP612" i="2"/>
  <c r="AP614" i="2" s="1"/>
  <c r="BK612" i="2"/>
  <c r="BK614" i="2" s="1"/>
  <c r="Q594" i="2"/>
  <c r="Q596" i="2" s="1"/>
  <c r="BM612" i="2"/>
  <c r="BM614" i="2" s="1"/>
  <c r="BV612" i="2"/>
  <c r="BV614" i="2" s="1"/>
  <c r="AN594" i="2"/>
  <c r="AN596" i="2" s="1"/>
  <c r="AM594" i="2"/>
  <c r="AM596" i="2" s="1"/>
  <c r="T594" i="2"/>
  <c r="T596" i="2" s="1"/>
  <c r="AM612" i="2"/>
  <c r="AM614" i="2" s="1"/>
  <c r="CG612" i="2"/>
  <c r="CG614" i="2" s="1"/>
  <c r="CJ612" i="2"/>
  <c r="CJ614" i="2" s="1"/>
  <c r="BE612" i="2"/>
  <c r="BE614" i="2" s="1"/>
  <c r="AQ612" i="2"/>
  <c r="AQ614" i="2" s="1"/>
  <c r="AU594" i="2"/>
  <c r="AU596" i="2" s="1"/>
  <c r="H594" i="2"/>
  <c r="H596" i="2" s="1"/>
  <c r="BC594" i="2"/>
  <c r="BC596" i="2" s="1"/>
  <c r="BM594" i="2"/>
  <c r="BM596" i="2" s="1"/>
  <c r="G594" i="2"/>
  <c r="G596" i="2" s="1"/>
  <c r="AP594" i="2"/>
  <c r="AP596" i="2" s="1"/>
  <c r="N594" i="2"/>
  <c r="N596" i="2" s="1"/>
  <c r="CO594" i="2"/>
  <c r="CO596" i="2" s="1"/>
  <c r="CD594" i="2"/>
  <c r="CD596" i="2" s="1"/>
  <c r="BQ612" i="2"/>
  <c r="BQ614" i="2" s="1"/>
  <c r="X612" i="2"/>
  <c r="X614" i="2" s="1"/>
  <c r="BD612" i="2"/>
  <c r="BD614" i="2" s="1"/>
  <c r="W612" i="2"/>
  <c r="W614" i="2" s="1"/>
  <c r="BO612" i="2"/>
  <c r="BO614" i="2" s="1"/>
  <c r="BF594" i="2"/>
  <c r="BF596" i="2" s="1"/>
  <c r="E594" i="2"/>
  <c r="E596" i="2" s="1"/>
  <c r="BW594" i="2"/>
  <c r="BW596" i="2" s="1"/>
  <c r="BY594" i="2"/>
  <c r="BY596" i="2" s="1"/>
  <c r="CL594" i="2"/>
  <c r="CL596" i="2" s="1"/>
  <c r="K612" i="2"/>
  <c r="K614" i="2" s="1"/>
  <c r="CH612" i="2"/>
  <c r="CH614" i="2" s="1"/>
  <c r="AY612" i="2"/>
  <c r="AY614" i="2" s="1"/>
  <c r="BT612" i="2"/>
  <c r="BT614" i="2" s="1"/>
  <c r="H612" i="2"/>
  <c r="H614" i="2" s="1"/>
  <c r="BD621" i="2"/>
  <c r="BD623" i="2" s="1"/>
  <c r="K621" i="2"/>
  <c r="K623" i="2" s="1"/>
  <c r="AX621" i="2"/>
  <c r="AX623" i="2" s="1"/>
  <c r="AV621" i="2"/>
  <c r="AV623" i="2" s="1"/>
  <c r="CA621" i="2"/>
  <c r="CA623" i="2" s="1"/>
  <c r="U621" i="2"/>
  <c r="U623" i="2" s="1"/>
  <c r="BO621" i="2"/>
  <c r="BO623" i="2" s="1"/>
  <c r="J621" i="2"/>
  <c r="J623" i="2" s="1"/>
  <c r="BK621" i="2"/>
  <c r="BK623" i="2" s="1"/>
  <c r="BQ621" i="2"/>
  <c r="BQ623" i="2" s="1"/>
  <c r="BV621" i="2"/>
  <c r="BV623" i="2" s="1"/>
  <c r="BM621" i="2"/>
  <c r="BM623" i="2" s="1"/>
  <c r="CH621" i="2"/>
  <c r="CH623" i="2" s="1"/>
  <c r="CM621" i="2"/>
  <c r="CM623" i="2" s="1"/>
  <c r="AB621" i="2"/>
  <c r="AB623" i="2" s="1"/>
  <c r="CO621" i="2"/>
  <c r="CO623" i="2" s="1"/>
  <c r="AM621" i="2"/>
  <c r="AM623" i="2" s="1"/>
  <c r="N621" i="2"/>
  <c r="N623" i="2" s="1"/>
  <c r="BG621" i="2"/>
  <c r="BG623" i="2" s="1"/>
  <c r="O621" i="2"/>
  <c r="O623" i="2" s="1"/>
  <c r="AL621" i="2"/>
  <c r="AL623" i="2" s="1"/>
  <c r="M621" i="2"/>
  <c r="M623" i="2" s="1"/>
  <c r="AI621" i="2"/>
  <c r="AI623" i="2" s="1"/>
  <c r="AR621" i="2"/>
  <c r="AR623" i="2" s="1"/>
  <c r="BX621" i="2"/>
  <c r="BX623" i="2" s="1"/>
  <c r="BY621" i="2"/>
  <c r="BY623" i="2" s="1"/>
  <c r="AN621" i="2"/>
  <c r="AN623" i="2" s="1"/>
  <c r="BH621" i="2"/>
  <c r="BH623" i="2" s="1"/>
  <c r="CE621" i="2"/>
  <c r="CE623" i="2" s="1"/>
  <c r="R621" i="2"/>
  <c r="R623" i="2" s="1"/>
  <c r="BI621" i="2"/>
  <c r="BI623" i="2" s="1"/>
  <c r="Z621" i="2"/>
  <c r="Z623" i="2" s="1"/>
  <c r="H621" i="2"/>
  <c r="H623" i="2" s="1"/>
  <c r="AZ621" i="2"/>
  <c r="AZ623" i="2" s="1"/>
  <c r="BB621" i="2"/>
  <c r="BB623" i="2" s="1"/>
  <c r="T621" i="2"/>
  <c r="T623" i="2" s="1"/>
  <c r="F621" i="2"/>
  <c r="F623" i="2" s="1"/>
  <c r="W621" i="2"/>
  <c r="W623" i="2" s="1"/>
  <c r="CC621" i="2"/>
  <c r="CC623" i="2" s="1"/>
  <c r="AQ621" i="2"/>
  <c r="AQ623" i="2" s="1"/>
  <c r="BA621" i="2"/>
  <c r="BA623" i="2" s="1"/>
  <c r="AD621" i="2"/>
  <c r="AD623" i="2" s="1"/>
  <c r="BL621" i="2"/>
  <c r="BL623" i="2" s="1"/>
  <c r="CB621" i="2"/>
  <c r="CB623" i="2" s="1"/>
  <c r="AY621" i="2"/>
  <c r="AY623" i="2" s="1"/>
  <c r="CJ621" i="2"/>
  <c r="CJ623" i="2" s="1"/>
  <c r="AH621" i="2"/>
  <c r="AH623" i="2" s="1"/>
  <c r="S621" i="2"/>
  <c r="S623" i="2" s="1"/>
  <c r="AU621" i="2"/>
  <c r="AU623" i="2" s="1"/>
  <c r="BJ621" i="2"/>
  <c r="BJ623" i="2" s="1"/>
  <c r="L621" i="2"/>
  <c r="L623" i="2" s="1"/>
  <c r="AC621" i="2"/>
  <c r="AC623" i="2" s="1"/>
  <c r="BS621" i="2"/>
  <c r="BS623" i="2" s="1"/>
  <c r="CI621" i="2"/>
  <c r="CI623" i="2" s="1"/>
  <c r="CK621" i="2"/>
  <c r="CK623" i="2" s="1"/>
  <c r="BF621" i="2"/>
  <c r="BF623" i="2" s="1"/>
  <c r="AO621" i="2"/>
  <c r="AO623" i="2" s="1"/>
  <c r="AK621" i="2"/>
  <c r="AK623" i="2" s="1"/>
  <c r="BW621" i="2"/>
  <c r="BW623" i="2" s="1"/>
  <c r="BT621" i="2"/>
  <c r="BT623" i="2" s="1"/>
  <c r="BP621" i="2"/>
  <c r="BP623" i="2" s="1"/>
  <c r="CF621" i="2"/>
  <c r="CF623" i="2" s="1"/>
  <c r="BR621" i="2"/>
  <c r="BR623" i="2" s="1"/>
  <c r="BZ621" i="2"/>
  <c r="BZ623" i="2" s="1"/>
  <c r="X621" i="2"/>
  <c r="X623" i="2" s="1"/>
  <c r="AW621" i="2"/>
  <c r="AW623" i="2" s="1"/>
  <c r="G621" i="2"/>
  <c r="G623" i="2" s="1"/>
  <c r="BE621" i="2"/>
  <c r="BE623" i="2" s="1"/>
  <c r="CL621" i="2"/>
  <c r="CL623" i="2" s="1"/>
  <c r="AP621" i="2"/>
  <c r="AP623" i="2" s="1"/>
  <c r="CP621" i="2"/>
  <c r="CP623" i="2" s="1"/>
  <c r="D621" i="2"/>
  <c r="D623" i="2" s="1"/>
  <c r="AS621" i="2"/>
  <c r="AS623" i="2" s="1"/>
  <c r="AJ621" i="2"/>
  <c r="AJ623" i="2" s="1"/>
  <c r="CN621" i="2"/>
  <c r="CN623" i="2" s="1"/>
  <c r="AF621" i="2"/>
  <c r="AF623" i="2" s="1"/>
  <c r="P621" i="2"/>
  <c r="P623" i="2" s="1"/>
  <c r="AE621" i="2"/>
  <c r="AE623" i="2" s="1"/>
  <c r="BU621" i="2"/>
  <c r="BU623" i="2" s="1"/>
  <c r="CD621" i="2"/>
  <c r="CD623" i="2" s="1"/>
  <c r="AA621" i="2"/>
  <c r="AA623" i="2" s="1"/>
  <c r="BC621" i="2"/>
  <c r="BC623" i="2" s="1"/>
  <c r="Y621" i="2"/>
  <c r="Y623" i="2" s="1"/>
  <c r="AG621" i="2"/>
  <c r="AG623" i="2" s="1"/>
  <c r="I621" i="2"/>
  <c r="I623" i="2" s="1"/>
  <c r="E621" i="2"/>
  <c r="E623" i="2" s="1"/>
  <c r="BN621" i="2"/>
  <c r="BN623" i="2" s="1"/>
  <c r="CG621" i="2"/>
  <c r="CG623" i="2" s="1"/>
  <c r="V621" i="2"/>
  <c r="V623" i="2" s="1"/>
  <c r="AT621" i="2"/>
  <c r="AT623" i="2" s="1"/>
  <c r="Q621" i="2"/>
  <c r="Q623" i="2" s="1"/>
  <c r="BI614" i="2"/>
  <c r="CM594" i="2"/>
  <c r="CM596" i="2" s="1"/>
  <c r="CK594" i="2"/>
  <c r="CK596" i="2" s="1"/>
  <c r="CN594" i="2"/>
  <c r="CN596" i="2" s="1"/>
  <c r="BN594" i="2"/>
  <c r="BN596" i="2" s="1"/>
  <c r="CC594" i="2"/>
  <c r="CC596" i="2" s="1"/>
  <c r="BK594" i="2"/>
  <c r="BK596" i="2" s="1"/>
  <c r="CA594" i="2"/>
  <c r="CA596" i="2" s="1"/>
  <c r="D594" i="2"/>
  <c r="D596" i="2" s="1"/>
  <c r="AD594" i="2"/>
  <c r="AD596" i="2" s="1"/>
  <c r="BB594" i="2"/>
  <c r="BB596" i="2" s="1"/>
  <c r="AS594" i="2"/>
  <c r="AS596" i="2" s="1"/>
  <c r="BL594" i="2"/>
  <c r="BL596" i="2" s="1"/>
  <c r="BZ594" i="2"/>
  <c r="BZ596" i="2" s="1"/>
  <c r="BZ654" i="2" s="1"/>
  <c r="AH594" i="2"/>
  <c r="AH596" i="2" s="1"/>
  <c r="AJ594" i="2"/>
  <c r="AJ596" i="2" s="1"/>
  <c r="BR594" i="2"/>
  <c r="BR596" i="2" s="1"/>
  <c r="Y594" i="2"/>
  <c r="Y596" i="2" s="1"/>
  <c r="BG594" i="2"/>
  <c r="BG596" i="2" s="1"/>
  <c r="AV594" i="2"/>
  <c r="AV596" i="2" s="1"/>
  <c r="W594" i="2"/>
  <c r="W596" i="2" s="1"/>
  <c r="BX594" i="2"/>
  <c r="BX596" i="2" s="1"/>
  <c r="AK594" i="2"/>
  <c r="AK596" i="2" s="1"/>
  <c r="AC594" i="2"/>
  <c r="AC596" i="2" s="1"/>
  <c r="BA594" i="2"/>
  <c r="BA596" i="2" s="1"/>
  <c r="AX594" i="2"/>
  <c r="AX596" i="2" s="1"/>
  <c r="BH594" i="2"/>
  <c r="BH596" i="2" s="1"/>
  <c r="BQ594" i="2"/>
  <c r="BQ596" i="2" s="1"/>
  <c r="AL594" i="2"/>
  <c r="AL596" i="2" s="1"/>
  <c r="AE594" i="2"/>
  <c r="AE596" i="2" s="1"/>
  <c r="S594" i="2"/>
  <c r="S596" i="2" s="1"/>
  <c r="CF594" i="2"/>
  <c r="CF596" i="2" s="1"/>
  <c r="CB594" i="2"/>
  <c r="CB596" i="2" s="1"/>
  <c r="CG594" i="2"/>
  <c r="CG596" i="2" s="1"/>
  <c r="I594" i="2"/>
  <c r="I596" i="2" s="1"/>
  <c r="I654" i="2" s="1"/>
  <c r="I668" i="2" s="1"/>
  <c r="I704" i="2" s="1"/>
  <c r="X594" i="2"/>
  <c r="X596" i="2" s="1"/>
  <c r="F594" i="2"/>
  <c r="F596" i="2" s="1"/>
  <c r="AT594" i="2"/>
  <c r="AT596" i="2" s="1"/>
  <c r="BO594" i="2"/>
  <c r="BO596" i="2" s="1"/>
  <c r="AG594" i="2"/>
  <c r="AG596" i="2" s="1"/>
  <c r="O594" i="2"/>
  <c r="O596" i="2" s="1"/>
  <c r="AZ612" i="2"/>
  <c r="AZ614" i="2" s="1"/>
  <c r="AC612" i="2"/>
  <c r="AC614" i="2" s="1"/>
  <c r="AR612" i="2"/>
  <c r="AR614" i="2" s="1"/>
  <c r="BR612" i="2"/>
  <c r="BR614" i="2" s="1"/>
  <c r="CM612" i="2"/>
  <c r="CM614" i="2" s="1"/>
  <c r="Y612" i="2"/>
  <c r="Y614" i="2" s="1"/>
  <c r="BG612" i="2"/>
  <c r="BG614" i="2" s="1"/>
  <c r="AK612" i="2"/>
  <c r="AK614" i="2" s="1"/>
  <c r="V612" i="2"/>
  <c r="V614" i="2" s="1"/>
  <c r="AF612" i="2"/>
  <c r="AF614" i="2" s="1"/>
  <c r="AO612" i="2"/>
  <c r="AO614" i="2" s="1"/>
  <c r="CC612" i="2"/>
  <c r="CC614" i="2" s="1"/>
  <c r="BB612" i="2"/>
  <c r="BB614" i="2" s="1"/>
  <c r="R612" i="2"/>
  <c r="R614" i="2" s="1"/>
  <c r="BS612" i="2"/>
  <c r="BS614" i="2" s="1"/>
  <c r="BJ612" i="2"/>
  <c r="BJ614" i="2" s="1"/>
  <c r="CP612" i="2"/>
  <c r="CP614" i="2" s="1"/>
  <c r="BZ612" i="2"/>
  <c r="BZ614" i="2" s="1"/>
  <c r="O612" i="2"/>
  <c r="O614" i="2" s="1"/>
  <c r="CA612" i="2"/>
  <c r="CA614" i="2" s="1"/>
  <c r="BN612" i="2"/>
  <c r="BN614" i="2" s="1"/>
  <c r="AL612" i="2"/>
  <c r="AL614" i="2" s="1"/>
  <c r="E612" i="2"/>
  <c r="E614" i="2" s="1"/>
  <c r="BU594" i="2"/>
  <c r="BU596" i="2" s="1"/>
  <c r="BJ594" i="2"/>
  <c r="BJ596" i="2" s="1"/>
  <c r="Z594" i="2"/>
  <c r="Z596" i="2" s="1"/>
  <c r="AW594" i="2"/>
  <c r="AW596" i="2" s="1"/>
  <c r="AR594" i="2"/>
  <c r="AR596" i="2" s="1"/>
  <c r="AY594" i="2"/>
  <c r="AY596" i="2" s="1"/>
  <c r="BT594" i="2"/>
  <c r="BT596" i="2" s="1"/>
  <c r="AQ594" i="2"/>
  <c r="AQ596" i="2" s="1"/>
  <c r="U594" i="2"/>
  <c r="U596" i="2" s="1"/>
  <c r="CP594" i="2"/>
  <c r="CP596" i="2" s="1"/>
  <c r="BD594" i="2"/>
  <c r="BD596" i="2" s="1"/>
  <c r="BE594" i="2"/>
  <c r="BE596" i="2" s="1"/>
  <c r="K594" i="2"/>
  <c r="K596" i="2" s="1"/>
  <c r="AB594" i="2"/>
  <c r="AB596" i="2" s="1"/>
  <c r="AF594" i="2"/>
  <c r="AF596" i="2" s="1"/>
  <c r="P594" i="2"/>
  <c r="P596" i="2" s="1"/>
  <c r="BI594" i="2"/>
  <c r="BI596" i="2" s="1"/>
  <c r="R594" i="2"/>
  <c r="R596" i="2" s="1"/>
  <c r="CE594" i="2"/>
  <c r="CE596" i="2" s="1"/>
  <c r="AA594" i="2"/>
  <c r="AA596" i="2" s="1"/>
  <c r="BP594" i="2"/>
  <c r="BP596" i="2" s="1"/>
  <c r="CJ594" i="2"/>
  <c r="CJ596" i="2" s="1"/>
  <c r="CI594" i="2"/>
  <c r="CI596" i="2" s="1"/>
  <c r="L612" i="2"/>
  <c r="L614" i="2" s="1"/>
  <c r="BA612" i="2"/>
  <c r="BA614" i="2" s="1"/>
  <c r="AG612" i="2"/>
  <c r="AG614" i="2" s="1"/>
  <c r="AS612" i="2"/>
  <c r="AS614" i="2" s="1"/>
  <c r="AX612" i="2"/>
  <c r="AX614" i="2" s="1"/>
  <c r="BY612" i="2"/>
  <c r="BY614" i="2" s="1"/>
  <c r="M612" i="2"/>
  <c r="M614" i="2" s="1"/>
  <c r="CN612" i="2"/>
  <c r="CN614" i="2" s="1"/>
  <c r="AT612" i="2"/>
  <c r="AT614" i="2" s="1"/>
  <c r="AN612" i="2"/>
  <c r="AN614" i="2" s="1"/>
  <c r="U612" i="2"/>
  <c r="U614" i="2" s="1"/>
  <c r="CK612" i="2"/>
  <c r="CK614" i="2" s="1"/>
  <c r="AA612" i="2"/>
  <c r="AA614" i="2" s="1"/>
  <c r="S612" i="2"/>
  <c r="S614" i="2" s="1"/>
  <c r="T612" i="2"/>
  <c r="T614" i="2" s="1"/>
  <c r="BU612" i="2"/>
  <c r="BU614" i="2" s="1"/>
  <c r="N612" i="2"/>
  <c r="N614" i="2" s="1"/>
  <c r="G612" i="2"/>
  <c r="G614" i="2" s="1"/>
  <c r="F612" i="2"/>
  <c r="F614" i="2" s="1"/>
  <c r="P612" i="2"/>
  <c r="P614" i="2" s="1"/>
  <c r="AH612" i="2"/>
  <c r="AH614" i="2" s="1"/>
  <c r="BL612" i="2"/>
  <c r="BL614" i="2" s="1"/>
  <c r="CL612" i="2"/>
  <c r="CL614" i="2" s="1"/>
  <c r="M594" i="2"/>
  <c r="M596" i="2" s="1"/>
  <c r="AI594" i="2"/>
  <c r="AI596" i="2" s="1"/>
  <c r="CH594" i="2"/>
  <c r="CH596" i="2" s="1"/>
  <c r="AJ612" i="2"/>
  <c r="AJ614" i="2" s="1"/>
  <c r="CB612" i="2"/>
  <c r="CB614" i="2" s="1"/>
  <c r="BC612" i="2"/>
  <c r="BC614" i="2" s="1"/>
  <c r="CE612" i="2"/>
  <c r="CE614" i="2" s="1"/>
  <c r="BF612" i="2"/>
  <c r="BF614" i="2" s="1"/>
  <c r="CF612" i="2"/>
  <c r="CF614" i="2" s="1"/>
  <c r="BW612" i="2"/>
  <c r="BW614" i="2" s="1"/>
  <c r="AE612" i="2"/>
  <c r="AE614" i="2" s="1"/>
  <c r="I612" i="2"/>
  <c r="I614" i="2" s="1"/>
  <c r="AV612" i="2"/>
  <c r="AV614" i="2" s="1"/>
  <c r="AU612" i="2"/>
  <c r="AU614" i="2" s="1"/>
  <c r="AB612" i="2"/>
  <c r="AB614" i="2" s="1"/>
  <c r="Q612" i="2"/>
  <c r="Q614" i="2" s="1"/>
  <c r="BH612" i="2"/>
  <c r="BH614" i="2" s="1"/>
  <c r="CO612" i="2"/>
  <c r="CO614" i="2" s="1"/>
  <c r="AD612" i="2"/>
  <c r="AD614" i="2" s="1"/>
  <c r="D612" i="2"/>
  <c r="D614" i="2" s="1"/>
  <c r="AI612" i="2"/>
  <c r="AI614" i="2" s="1"/>
  <c r="Z612" i="2"/>
  <c r="Z614" i="2" s="1"/>
  <c r="CI612" i="2"/>
  <c r="CI614" i="2" s="1"/>
  <c r="CD612" i="2"/>
  <c r="CD614" i="2" s="1"/>
  <c r="AW612" i="2"/>
  <c r="AW614" i="2" s="1"/>
  <c r="D716" i="2" l="1"/>
  <c r="H23" i="8" s="1"/>
  <c r="AD656" i="2"/>
  <c r="AD670" i="2" s="1"/>
  <c r="AD706" i="2" s="1"/>
  <c r="CE656" i="2"/>
  <c r="CE670" i="2" s="1"/>
  <c r="CE706" i="2" s="1"/>
  <c r="BL656" i="2"/>
  <c r="BL670" i="2" s="1"/>
  <c r="BL706" i="2" s="1"/>
  <c r="S656" i="2"/>
  <c r="S670" i="2" s="1"/>
  <c r="S706" i="2" s="1"/>
  <c r="BA656" i="2"/>
  <c r="BA670" i="2" s="1"/>
  <c r="BA706" i="2" s="1"/>
  <c r="BI654" i="2"/>
  <c r="BI668" i="2" s="1"/>
  <c r="BI704" i="2" s="1"/>
  <c r="U654" i="2"/>
  <c r="U668" i="2" s="1"/>
  <c r="U704" i="2" s="1"/>
  <c r="BU654" i="2"/>
  <c r="BU668" i="2" s="1"/>
  <c r="BU704" i="2" s="1"/>
  <c r="CC656" i="2"/>
  <c r="CC670" i="2" s="1"/>
  <c r="CC706" i="2" s="1"/>
  <c r="BR656" i="2"/>
  <c r="BR670" i="2" s="1"/>
  <c r="BR706" i="2" s="1"/>
  <c r="O654" i="2"/>
  <c r="O668" i="2" s="1"/>
  <c r="O704" i="2" s="1"/>
  <c r="CB654" i="2"/>
  <c r="CB668" i="2" s="1"/>
  <c r="CB704" i="2" s="1"/>
  <c r="BA654" i="2"/>
  <c r="BA668" i="2" s="1"/>
  <c r="BA704" i="2" s="1"/>
  <c r="BR654" i="2"/>
  <c r="BR668" i="2" s="1"/>
  <c r="BR704" i="2" s="1"/>
  <c r="AD654" i="2"/>
  <c r="AD668" i="2" s="1"/>
  <c r="AD704" i="2" s="1"/>
  <c r="CM654" i="2"/>
  <c r="CM668" i="2" s="1"/>
  <c r="CM704" i="2" s="1"/>
  <c r="E657" i="2"/>
  <c r="E671" i="2" s="1"/>
  <c r="E707" i="2" s="1"/>
  <c r="AE657" i="2"/>
  <c r="AE671" i="2" s="1"/>
  <c r="AE707" i="2" s="1"/>
  <c r="AW657" i="2"/>
  <c r="AW671" i="2" s="1"/>
  <c r="AW707" i="2" s="1"/>
  <c r="CI657" i="2"/>
  <c r="CI671" i="2" s="1"/>
  <c r="CI707" i="2" s="1"/>
  <c r="AD657" i="2"/>
  <c r="AD671" i="2" s="1"/>
  <c r="AD707" i="2" s="1"/>
  <c r="R657" i="2"/>
  <c r="R671" i="2" s="1"/>
  <c r="R707" i="2" s="1"/>
  <c r="N657" i="2"/>
  <c r="N671" i="2" s="1"/>
  <c r="N707" i="2" s="1"/>
  <c r="U657" i="2"/>
  <c r="U671" i="2" s="1"/>
  <c r="U707" i="2" s="1"/>
  <c r="BO656" i="2"/>
  <c r="BO670" i="2" s="1"/>
  <c r="BO706" i="2" s="1"/>
  <c r="H654" i="2"/>
  <c r="H668" i="2" s="1"/>
  <c r="H704" i="2" s="1"/>
  <c r="BM656" i="2"/>
  <c r="BM670" i="2" s="1"/>
  <c r="BM706" i="2" s="1"/>
  <c r="CO656" i="2"/>
  <c r="CO670" i="2" s="1"/>
  <c r="CO706" i="2" s="1"/>
  <c r="AU656" i="2"/>
  <c r="AU670" i="2" s="1"/>
  <c r="AU706" i="2" s="1"/>
  <c r="AI654" i="2"/>
  <c r="AI668" i="2" s="1"/>
  <c r="AI704" i="2" s="1"/>
  <c r="N656" i="2"/>
  <c r="N670" i="2" s="1"/>
  <c r="N706" i="2" s="1"/>
  <c r="AT656" i="2"/>
  <c r="AT670" i="2" s="1"/>
  <c r="AT706" i="2" s="1"/>
  <c r="AX656" i="2"/>
  <c r="AX670" i="2" s="1"/>
  <c r="AX706" i="2" s="1"/>
  <c r="P654" i="2"/>
  <c r="P668" i="2" s="1"/>
  <c r="P704" i="2" s="1"/>
  <c r="CI656" i="2"/>
  <c r="CI670" i="2" s="1"/>
  <c r="CI706" i="2" s="1"/>
  <c r="AE656" i="2"/>
  <c r="AE670" i="2" s="1"/>
  <c r="AE706" i="2" s="1"/>
  <c r="G656" i="2"/>
  <c r="G670" i="2" s="1"/>
  <c r="G706" i="2" s="1"/>
  <c r="AN656" i="2"/>
  <c r="AN670" i="2" s="1"/>
  <c r="AN706" i="2" s="1"/>
  <c r="BP654" i="2"/>
  <c r="BP668" i="2" s="1"/>
  <c r="BP704" i="2" s="1"/>
  <c r="K654" i="2"/>
  <c r="K668" i="2" s="1"/>
  <c r="K704" i="2" s="1"/>
  <c r="AR654" i="2"/>
  <c r="AR668" i="2" s="1"/>
  <c r="AR704" i="2" s="1"/>
  <c r="CA656" i="2"/>
  <c r="CA670" i="2" s="1"/>
  <c r="CA706" i="2" s="1"/>
  <c r="BJ656" i="2"/>
  <c r="BJ670" i="2" s="1"/>
  <c r="BJ706" i="2" s="1"/>
  <c r="AK656" i="2"/>
  <c r="AK670" i="2" s="1"/>
  <c r="AK706" i="2" s="1"/>
  <c r="F654" i="2"/>
  <c r="F668" i="2" s="1"/>
  <c r="F704" i="2" s="1"/>
  <c r="AL654" i="2"/>
  <c r="AL668" i="2" s="1"/>
  <c r="AL704" i="2" s="1"/>
  <c r="W654" i="2"/>
  <c r="W668" i="2" s="1"/>
  <c r="W704" i="2" s="1"/>
  <c r="BZ668" i="2"/>
  <c r="BZ704" i="2" s="1"/>
  <c r="AK657" i="2"/>
  <c r="AK671" i="2" s="1"/>
  <c r="AK707" i="2" s="1"/>
  <c r="CJ657" i="2"/>
  <c r="CJ671" i="2" s="1"/>
  <c r="CJ707" i="2" s="1"/>
  <c r="AZ657" i="2"/>
  <c r="AZ671" i="2" s="1"/>
  <c r="AZ707" i="2" s="1"/>
  <c r="M657" i="2"/>
  <c r="M671" i="2" s="1"/>
  <c r="M707" i="2" s="1"/>
  <c r="BQ657" i="2"/>
  <c r="BQ671" i="2" s="1"/>
  <c r="BQ707" i="2" s="1"/>
  <c r="AY656" i="2"/>
  <c r="AY670" i="2" s="1"/>
  <c r="AY706" i="2" s="1"/>
  <c r="BQ656" i="2"/>
  <c r="BQ670" i="2" s="1"/>
  <c r="BQ706" i="2" s="1"/>
  <c r="CJ656" i="2"/>
  <c r="CJ670" i="2" s="1"/>
  <c r="CJ706" i="2" s="1"/>
  <c r="BS654" i="2"/>
  <c r="BS668" i="2" s="1"/>
  <c r="BS704" i="2" s="1"/>
  <c r="Z656" i="2"/>
  <c r="Z670" i="2" s="1"/>
  <c r="Z706" i="2" s="1"/>
  <c r="BW656" i="2"/>
  <c r="BW670" i="2" s="1"/>
  <c r="BW706" i="2" s="1"/>
  <c r="BC656" i="2"/>
  <c r="BC670" i="2" s="1"/>
  <c r="BC706" i="2" s="1"/>
  <c r="AH656" i="2"/>
  <c r="AH670" i="2" s="1"/>
  <c r="AH706" i="2" s="1"/>
  <c r="AA656" i="2"/>
  <c r="AA670" i="2" s="1"/>
  <c r="AA706" i="2" s="1"/>
  <c r="L656" i="2"/>
  <c r="L670" i="2" s="1"/>
  <c r="L706" i="2" s="1"/>
  <c r="AA654" i="2"/>
  <c r="AA668" i="2" s="1"/>
  <c r="AA704" i="2" s="1"/>
  <c r="AQ654" i="2"/>
  <c r="AQ668" i="2" s="1"/>
  <c r="AQ704" i="2" s="1"/>
  <c r="AW654" i="2"/>
  <c r="AW668" i="2" s="1"/>
  <c r="AW704" i="2" s="1"/>
  <c r="E656" i="2"/>
  <c r="E670" i="2" s="1"/>
  <c r="E706" i="2" s="1"/>
  <c r="O656" i="2"/>
  <c r="O670" i="2" s="1"/>
  <c r="O706" i="2" s="1"/>
  <c r="BS656" i="2"/>
  <c r="BS670" i="2" s="1"/>
  <c r="BS706" i="2" s="1"/>
  <c r="AO656" i="2"/>
  <c r="AO670" i="2" s="1"/>
  <c r="AO706" i="2" s="1"/>
  <c r="BG656" i="2"/>
  <c r="BG670" i="2" s="1"/>
  <c r="BG706" i="2" s="1"/>
  <c r="AR656" i="2"/>
  <c r="AR670" i="2" s="1"/>
  <c r="AR706" i="2" s="1"/>
  <c r="AG654" i="2"/>
  <c r="AG668" i="2" s="1"/>
  <c r="AG704" i="2" s="1"/>
  <c r="X654" i="2"/>
  <c r="X668" i="2" s="1"/>
  <c r="X704" i="2" s="1"/>
  <c r="CF654" i="2"/>
  <c r="CF668" i="2" s="1"/>
  <c r="CF704" i="2" s="1"/>
  <c r="BQ654" i="2"/>
  <c r="BQ668" i="2" s="1"/>
  <c r="BQ704" i="2" s="1"/>
  <c r="AC654" i="2"/>
  <c r="AC668" i="2" s="1"/>
  <c r="AC704" i="2" s="1"/>
  <c r="AV654" i="2"/>
  <c r="AV668" i="2" s="1"/>
  <c r="AV704" i="2" s="1"/>
  <c r="AJ654" i="2"/>
  <c r="AJ668" i="2" s="1"/>
  <c r="AJ704" i="2" s="1"/>
  <c r="BL654" i="2"/>
  <c r="BL668" i="2" s="1"/>
  <c r="BL704" i="2" s="1"/>
  <c r="D654" i="2"/>
  <c r="D668" i="2" s="1"/>
  <c r="D704" i="2" s="1"/>
  <c r="BN654" i="2"/>
  <c r="BN668" i="2" s="1"/>
  <c r="BN704" i="2" s="1"/>
  <c r="BI656" i="2"/>
  <c r="BI670" i="2" s="1"/>
  <c r="BI706" i="2" s="1"/>
  <c r="V657" i="2"/>
  <c r="V671" i="2" s="1"/>
  <c r="V707" i="2" s="1"/>
  <c r="I657" i="2"/>
  <c r="I671" i="2" s="1"/>
  <c r="I707" i="2" s="1"/>
  <c r="AA657" i="2"/>
  <c r="AA671" i="2" s="1"/>
  <c r="AA707" i="2" s="1"/>
  <c r="P657" i="2"/>
  <c r="P671" i="2" s="1"/>
  <c r="P707" i="2" s="1"/>
  <c r="AS657" i="2"/>
  <c r="AS671" i="2" s="1"/>
  <c r="AS707" i="2" s="1"/>
  <c r="CL657" i="2"/>
  <c r="CL671" i="2" s="1"/>
  <c r="CL707" i="2" s="1"/>
  <c r="X657" i="2"/>
  <c r="X671" i="2" s="1"/>
  <c r="X707" i="2" s="1"/>
  <c r="BP657" i="2"/>
  <c r="BP671" i="2" s="1"/>
  <c r="BP707" i="2" s="1"/>
  <c r="AO657" i="2"/>
  <c r="AO671" i="2" s="1"/>
  <c r="AO707" i="2" s="1"/>
  <c r="BS657" i="2"/>
  <c r="BS671" i="2" s="1"/>
  <c r="BS707" i="2" s="1"/>
  <c r="AU657" i="2"/>
  <c r="AU671" i="2" s="1"/>
  <c r="AU707" i="2" s="1"/>
  <c r="AY657" i="2"/>
  <c r="AY671" i="2" s="1"/>
  <c r="AY707" i="2" s="1"/>
  <c r="BA657" i="2"/>
  <c r="BA671" i="2" s="1"/>
  <c r="BA707" i="2" s="1"/>
  <c r="F657" i="2"/>
  <c r="F671" i="2" s="1"/>
  <c r="F707" i="2" s="1"/>
  <c r="H657" i="2"/>
  <c r="H671" i="2" s="1"/>
  <c r="H707" i="2" s="1"/>
  <c r="CE657" i="2"/>
  <c r="CE671" i="2" s="1"/>
  <c r="CE707" i="2" s="1"/>
  <c r="BX657" i="2"/>
  <c r="BX671" i="2" s="1"/>
  <c r="BX707" i="2" s="1"/>
  <c r="AL657" i="2"/>
  <c r="AL671" i="2" s="1"/>
  <c r="AL707" i="2" s="1"/>
  <c r="AM657" i="2"/>
  <c r="AM671" i="2" s="1"/>
  <c r="AM707" i="2" s="1"/>
  <c r="CH657" i="2"/>
  <c r="CH671" i="2" s="1"/>
  <c r="CH707" i="2" s="1"/>
  <c r="BK657" i="2"/>
  <c r="BK671" i="2" s="1"/>
  <c r="BK707" i="2" s="1"/>
  <c r="CA657" i="2"/>
  <c r="CA671" i="2" s="1"/>
  <c r="CA707" i="2" s="1"/>
  <c r="BD657" i="2"/>
  <c r="BD671" i="2" s="1"/>
  <c r="BD707" i="2" s="1"/>
  <c r="CH656" i="2"/>
  <c r="CH670" i="2" s="1"/>
  <c r="CH706" i="2" s="1"/>
  <c r="BW654" i="2"/>
  <c r="BW668" i="2" s="1"/>
  <c r="BW704" i="2" s="1"/>
  <c r="W656" i="2"/>
  <c r="W670" i="2" s="1"/>
  <c r="W706" i="2" s="1"/>
  <c r="CD654" i="2"/>
  <c r="CD668" i="2" s="1"/>
  <c r="CD704" i="2" s="1"/>
  <c r="G654" i="2"/>
  <c r="G668" i="2" s="1"/>
  <c r="G704" i="2" s="1"/>
  <c r="AU654" i="2"/>
  <c r="AU668" i="2" s="1"/>
  <c r="AU704" i="2" s="1"/>
  <c r="CG656" i="2"/>
  <c r="CG670" i="2" s="1"/>
  <c r="CG706" i="2" s="1"/>
  <c r="AN654" i="2"/>
  <c r="AN668" i="2" s="1"/>
  <c r="AN704" i="2" s="1"/>
  <c r="Q654" i="2"/>
  <c r="Q668" i="2" s="1"/>
  <c r="Q704" i="2" s="1"/>
  <c r="V654" i="2"/>
  <c r="V668" i="2" s="1"/>
  <c r="V704" i="2" s="1"/>
  <c r="AO654" i="2"/>
  <c r="AO668" i="2" s="1"/>
  <c r="AO704" i="2" s="1"/>
  <c r="AW656" i="2"/>
  <c r="AW670" i="2" s="1"/>
  <c r="AW706" i="2" s="1"/>
  <c r="AI656" i="2"/>
  <c r="AI670" i="2" s="1"/>
  <c r="AI706" i="2" s="1"/>
  <c r="BH656" i="2"/>
  <c r="BH670" i="2" s="1"/>
  <c r="BH706" i="2" s="1"/>
  <c r="AV656" i="2"/>
  <c r="AV670" i="2" s="1"/>
  <c r="AV706" i="2" s="1"/>
  <c r="CF656" i="2"/>
  <c r="CF670" i="2" s="1"/>
  <c r="CF706" i="2" s="1"/>
  <c r="CB656" i="2"/>
  <c r="CB670" i="2" s="1"/>
  <c r="CB706" i="2" s="1"/>
  <c r="M654" i="2"/>
  <c r="M668" i="2" s="1"/>
  <c r="M704" i="2" s="1"/>
  <c r="P656" i="2"/>
  <c r="P670" i="2" s="1"/>
  <c r="P706" i="2" s="1"/>
  <c r="BU656" i="2"/>
  <c r="BU670" i="2" s="1"/>
  <c r="BU706" i="2" s="1"/>
  <c r="CK656" i="2"/>
  <c r="CK670" i="2" s="1"/>
  <c r="CK706" i="2" s="1"/>
  <c r="CN656" i="2"/>
  <c r="CN670" i="2" s="1"/>
  <c r="CN706" i="2" s="1"/>
  <c r="AS656" i="2"/>
  <c r="AS670" i="2" s="1"/>
  <c r="AS706" i="2" s="1"/>
  <c r="CI654" i="2"/>
  <c r="CI668" i="2" s="1"/>
  <c r="CI704" i="2" s="1"/>
  <c r="CE654" i="2"/>
  <c r="CE668" i="2" s="1"/>
  <c r="CE704" i="2" s="1"/>
  <c r="AF654" i="2"/>
  <c r="AF668" i="2" s="1"/>
  <c r="AF704" i="2" s="1"/>
  <c r="BD654" i="2"/>
  <c r="BD668" i="2" s="1"/>
  <c r="BD704" i="2" s="1"/>
  <c r="BT654" i="2"/>
  <c r="BT668" i="2" s="1"/>
  <c r="BT704" i="2" s="1"/>
  <c r="Z654" i="2"/>
  <c r="Z668" i="2" s="1"/>
  <c r="Z704" i="2" s="1"/>
  <c r="AL656" i="2"/>
  <c r="AL670" i="2" s="1"/>
  <c r="AL706" i="2" s="1"/>
  <c r="BZ656" i="2"/>
  <c r="BZ670" i="2" s="1"/>
  <c r="BZ706" i="2" s="1"/>
  <c r="R656" i="2"/>
  <c r="R670" i="2" s="1"/>
  <c r="R706" i="2" s="1"/>
  <c r="AF656" i="2"/>
  <c r="AF670" i="2" s="1"/>
  <c r="AF706" i="2" s="1"/>
  <c r="Y656" i="2"/>
  <c r="Y670" i="2" s="1"/>
  <c r="Y706" i="2" s="1"/>
  <c r="AC656" i="2"/>
  <c r="AC670" i="2" s="1"/>
  <c r="AC706" i="2" s="1"/>
  <c r="BO654" i="2"/>
  <c r="BO668" i="2" s="1"/>
  <c r="BO704" i="2" s="1"/>
  <c r="S654" i="2"/>
  <c r="S668" i="2" s="1"/>
  <c r="S704" i="2" s="1"/>
  <c r="BH654" i="2"/>
  <c r="BH668" i="2" s="1"/>
  <c r="BH704" i="2" s="1"/>
  <c r="AK654" i="2"/>
  <c r="AK668" i="2" s="1"/>
  <c r="AK704" i="2" s="1"/>
  <c r="BG654" i="2"/>
  <c r="BG668" i="2" s="1"/>
  <c r="BG704" i="2" s="1"/>
  <c r="AH654" i="2"/>
  <c r="AH668" i="2" s="1"/>
  <c r="AH704" i="2" s="1"/>
  <c r="AS654" i="2"/>
  <c r="AS668" i="2" s="1"/>
  <c r="AS704" i="2" s="1"/>
  <c r="CA654" i="2"/>
  <c r="CA668" i="2" s="1"/>
  <c r="CA704" i="2" s="1"/>
  <c r="CN654" i="2"/>
  <c r="CN668" i="2" s="1"/>
  <c r="CN704" i="2" s="1"/>
  <c r="L654" i="2"/>
  <c r="L668" i="2" s="1"/>
  <c r="L704" i="2" s="1"/>
  <c r="CG657" i="2"/>
  <c r="CG671" i="2" s="1"/>
  <c r="CG707" i="2" s="1"/>
  <c r="AG657" i="2"/>
  <c r="AG671" i="2" s="1"/>
  <c r="AG707" i="2" s="1"/>
  <c r="CD657" i="2"/>
  <c r="CD671" i="2" s="1"/>
  <c r="CD707" i="2" s="1"/>
  <c r="AF657" i="2"/>
  <c r="AF671" i="2" s="1"/>
  <c r="AF707" i="2" s="1"/>
  <c r="D657" i="2"/>
  <c r="D671" i="2" s="1"/>
  <c r="D707" i="2" s="1"/>
  <c r="BE657" i="2"/>
  <c r="BE671" i="2" s="1"/>
  <c r="BE707" i="2" s="1"/>
  <c r="BZ657" i="2"/>
  <c r="BZ671" i="2" s="1"/>
  <c r="BZ707" i="2" s="1"/>
  <c r="BT657" i="2"/>
  <c r="BT671" i="2" s="1"/>
  <c r="BT707" i="2" s="1"/>
  <c r="BF657" i="2"/>
  <c r="BF671" i="2" s="1"/>
  <c r="BF707" i="2" s="1"/>
  <c r="AC657" i="2"/>
  <c r="AC671" i="2" s="1"/>
  <c r="AC707" i="2" s="1"/>
  <c r="S657" i="2"/>
  <c r="S671" i="2" s="1"/>
  <c r="S707" i="2" s="1"/>
  <c r="CB657" i="2"/>
  <c r="CB671" i="2" s="1"/>
  <c r="CB707" i="2" s="1"/>
  <c r="AQ657" i="2"/>
  <c r="AQ671" i="2" s="1"/>
  <c r="AQ707" i="2" s="1"/>
  <c r="T657" i="2"/>
  <c r="T671" i="2" s="1"/>
  <c r="T707" i="2" s="1"/>
  <c r="Z657" i="2"/>
  <c r="Z671" i="2" s="1"/>
  <c r="Z707" i="2" s="1"/>
  <c r="BH657" i="2"/>
  <c r="BH671" i="2" s="1"/>
  <c r="BH707" i="2" s="1"/>
  <c r="AR657" i="2"/>
  <c r="AR671" i="2" s="1"/>
  <c r="AR707" i="2" s="1"/>
  <c r="O657" i="2"/>
  <c r="O671" i="2" s="1"/>
  <c r="O707" i="2" s="1"/>
  <c r="CO657" i="2"/>
  <c r="CO671" i="2" s="1"/>
  <c r="CO707" i="2" s="1"/>
  <c r="BM657" i="2"/>
  <c r="BM671" i="2" s="1"/>
  <c r="BM707" i="2" s="1"/>
  <c r="J657" i="2"/>
  <c r="J671" i="2" s="1"/>
  <c r="J707" i="2" s="1"/>
  <c r="AV657" i="2"/>
  <c r="AV671" i="2" s="1"/>
  <c r="AV707" i="2" s="1"/>
  <c r="H656" i="2"/>
  <c r="H670" i="2" s="1"/>
  <c r="H706" i="2" s="1"/>
  <c r="K656" i="2"/>
  <c r="K670" i="2" s="1"/>
  <c r="K706" i="2" s="1"/>
  <c r="E654" i="2"/>
  <c r="E668" i="2" s="1"/>
  <c r="E704" i="2" s="1"/>
  <c r="BD656" i="2"/>
  <c r="BD670" i="2" s="1"/>
  <c r="BD706" i="2" s="1"/>
  <c r="CO654" i="2"/>
  <c r="CO668" i="2" s="1"/>
  <c r="CO704" i="2" s="1"/>
  <c r="BM654" i="2"/>
  <c r="BM668" i="2" s="1"/>
  <c r="BM704" i="2" s="1"/>
  <c r="AQ656" i="2"/>
  <c r="AQ670" i="2" s="1"/>
  <c r="AQ706" i="2" s="1"/>
  <c r="AM656" i="2"/>
  <c r="AM670" i="2" s="1"/>
  <c r="AM706" i="2" s="1"/>
  <c r="BK656" i="2"/>
  <c r="BK670" i="2" s="1"/>
  <c r="BK706" i="2" s="1"/>
  <c r="BX656" i="2"/>
  <c r="BX670" i="2" s="1"/>
  <c r="BX706" i="2" s="1"/>
  <c r="BP656" i="2"/>
  <c r="BP670" i="2" s="1"/>
  <c r="BP706" i="2" s="1"/>
  <c r="AZ654" i="2"/>
  <c r="AZ668" i="2" s="1"/>
  <c r="AZ704" i="2" s="1"/>
  <c r="CD656" i="2"/>
  <c r="CD670" i="2" s="1"/>
  <c r="CD706" i="2" s="1"/>
  <c r="D656" i="2"/>
  <c r="D670" i="2" s="1"/>
  <c r="D706" i="2" s="1"/>
  <c r="Q656" i="2"/>
  <c r="Q670" i="2" s="1"/>
  <c r="Q706" i="2" s="1"/>
  <c r="I656" i="2"/>
  <c r="I670" i="2" s="1"/>
  <c r="I706" i="2" s="1"/>
  <c r="BF656" i="2"/>
  <c r="BF670" i="2" s="1"/>
  <c r="BF706" i="2" s="1"/>
  <c r="AJ656" i="2"/>
  <c r="AJ670" i="2" s="1"/>
  <c r="AJ706" i="2" s="1"/>
  <c r="CL656" i="2"/>
  <c r="CL670" i="2" s="1"/>
  <c r="CL706" i="2" s="1"/>
  <c r="F656" i="2"/>
  <c r="F670" i="2" s="1"/>
  <c r="F706" i="2" s="1"/>
  <c r="T656" i="2"/>
  <c r="T670" i="2" s="1"/>
  <c r="T706" i="2" s="1"/>
  <c r="U656" i="2"/>
  <c r="U670" i="2" s="1"/>
  <c r="U706" i="2" s="1"/>
  <c r="M656" i="2"/>
  <c r="M670" i="2" s="1"/>
  <c r="M706" i="2" s="1"/>
  <c r="AG656" i="2"/>
  <c r="AG670" i="2" s="1"/>
  <c r="AG706" i="2" s="1"/>
  <c r="CJ654" i="2"/>
  <c r="CJ668" i="2" s="1"/>
  <c r="CJ704" i="2" s="1"/>
  <c r="R654" i="2"/>
  <c r="R668" i="2" s="1"/>
  <c r="R704" i="2" s="1"/>
  <c r="AB654" i="2"/>
  <c r="AB668" i="2" s="1"/>
  <c r="AB704" i="2" s="1"/>
  <c r="CP654" i="2"/>
  <c r="CP668" i="2" s="1"/>
  <c r="CP704" i="2" s="1"/>
  <c r="AY654" i="2"/>
  <c r="AY668" i="2" s="1"/>
  <c r="AY704" i="2" s="1"/>
  <c r="BJ654" i="2"/>
  <c r="BJ668" i="2" s="1"/>
  <c r="BJ704" i="2" s="1"/>
  <c r="BN656" i="2"/>
  <c r="BN670" i="2" s="1"/>
  <c r="BN706" i="2" s="1"/>
  <c r="CP656" i="2"/>
  <c r="CP670" i="2" s="1"/>
  <c r="CP706" i="2" s="1"/>
  <c r="BB656" i="2"/>
  <c r="BB670" i="2" s="1"/>
  <c r="BB706" i="2" s="1"/>
  <c r="V656" i="2"/>
  <c r="V670" i="2" s="1"/>
  <c r="V706" i="2" s="1"/>
  <c r="CM656" i="2"/>
  <c r="CM670" i="2" s="1"/>
  <c r="CM706" i="2" s="1"/>
  <c r="AZ656" i="2"/>
  <c r="AZ670" i="2" s="1"/>
  <c r="AZ706" i="2" s="1"/>
  <c r="AT654" i="2"/>
  <c r="AT668" i="2" s="1"/>
  <c r="AT704" i="2" s="1"/>
  <c r="CG654" i="2"/>
  <c r="CG668" i="2" s="1"/>
  <c r="CG704" i="2" s="1"/>
  <c r="AE654" i="2"/>
  <c r="AE668" i="2" s="1"/>
  <c r="AE704" i="2" s="1"/>
  <c r="AX654" i="2"/>
  <c r="AX668" i="2" s="1"/>
  <c r="AX704" i="2" s="1"/>
  <c r="BX654" i="2"/>
  <c r="BX668" i="2" s="1"/>
  <c r="BX704" i="2" s="1"/>
  <c r="Y654" i="2"/>
  <c r="Y668" i="2" s="1"/>
  <c r="Y704" i="2" s="1"/>
  <c r="J668" i="2"/>
  <c r="J704" i="2" s="1"/>
  <c r="BB654" i="2"/>
  <c r="BB668" i="2" s="1"/>
  <c r="BB704" i="2" s="1"/>
  <c r="BK654" i="2"/>
  <c r="BK668" i="2" s="1"/>
  <c r="BK704" i="2" s="1"/>
  <c r="CK654" i="2"/>
  <c r="CK668" i="2" s="1"/>
  <c r="CK704" i="2" s="1"/>
  <c r="Q657" i="2"/>
  <c r="Q671" i="2" s="1"/>
  <c r="Q707" i="2" s="1"/>
  <c r="BN657" i="2"/>
  <c r="BN671" i="2" s="1"/>
  <c r="BN707" i="2" s="1"/>
  <c r="Y657" i="2"/>
  <c r="Y671" i="2" s="1"/>
  <c r="Y707" i="2" s="1"/>
  <c r="BU657" i="2"/>
  <c r="BU671" i="2" s="1"/>
  <c r="BU707" i="2" s="1"/>
  <c r="CN657" i="2"/>
  <c r="CN671" i="2" s="1"/>
  <c r="CN707" i="2" s="1"/>
  <c r="CP657" i="2"/>
  <c r="CP671" i="2" s="1"/>
  <c r="CP707" i="2" s="1"/>
  <c r="G657" i="2"/>
  <c r="G671" i="2" s="1"/>
  <c r="G707" i="2" s="1"/>
  <c r="BR657" i="2"/>
  <c r="BR671" i="2" s="1"/>
  <c r="BR707" i="2" s="1"/>
  <c r="BW657" i="2"/>
  <c r="BW671" i="2" s="1"/>
  <c r="BW707" i="2" s="1"/>
  <c r="CK657" i="2"/>
  <c r="CK671" i="2" s="1"/>
  <c r="CK707" i="2" s="1"/>
  <c r="L657" i="2"/>
  <c r="L671" i="2" s="1"/>
  <c r="L707" i="2" s="1"/>
  <c r="AH657" i="2"/>
  <c r="AH671" i="2" s="1"/>
  <c r="AH707" i="2" s="1"/>
  <c r="BL657" i="2"/>
  <c r="BL671" i="2" s="1"/>
  <c r="BL707" i="2" s="1"/>
  <c r="CC657" i="2"/>
  <c r="CC671" i="2" s="1"/>
  <c r="CC707" i="2" s="1"/>
  <c r="BB657" i="2"/>
  <c r="BB671" i="2" s="1"/>
  <c r="BB707" i="2" s="1"/>
  <c r="BI657" i="2"/>
  <c r="BI671" i="2" s="1"/>
  <c r="BI707" i="2" s="1"/>
  <c r="AN657" i="2"/>
  <c r="AN671" i="2" s="1"/>
  <c r="AN707" i="2" s="1"/>
  <c r="AI657" i="2"/>
  <c r="AI671" i="2" s="1"/>
  <c r="AI707" i="2" s="1"/>
  <c r="BG657" i="2"/>
  <c r="BG671" i="2" s="1"/>
  <c r="BG707" i="2" s="1"/>
  <c r="AB657" i="2"/>
  <c r="AB671" i="2" s="1"/>
  <c r="AB707" i="2" s="1"/>
  <c r="BV657" i="2"/>
  <c r="BV671" i="2" s="1"/>
  <c r="BV707" i="2" s="1"/>
  <c r="BO657" i="2"/>
  <c r="BO671" i="2" s="1"/>
  <c r="BO707" i="2" s="1"/>
  <c r="AX657" i="2"/>
  <c r="AX671" i="2" s="1"/>
  <c r="AX707" i="2" s="1"/>
  <c r="BT656" i="2"/>
  <c r="BT670" i="2" s="1"/>
  <c r="BT706" i="2" s="1"/>
  <c r="CL654" i="2"/>
  <c r="CL668" i="2" s="1"/>
  <c r="CL704" i="2" s="1"/>
  <c r="BF654" i="2"/>
  <c r="BF668" i="2" s="1"/>
  <c r="BF704" i="2" s="1"/>
  <c r="X656" i="2"/>
  <c r="X670" i="2" s="1"/>
  <c r="X706" i="2" s="1"/>
  <c r="N654" i="2"/>
  <c r="N668" i="2" s="1"/>
  <c r="N704" i="2" s="1"/>
  <c r="BC654" i="2"/>
  <c r="BC668" i="2" s="1"/>
  <c r="BC704" i="2" s="1"/>
  <c r="BE656" i="2"/>
  <c r="BE670" i="2" s="1"/>
  <c r="BE706" i="2" s="1"/>
  <c r="T654" i="2"/>
  <c r="T668" i="2" s="1"/>
  <c r="T704" i="2" s="1"/>
  <c r="BV656" i="2"/>
  <c r="BV670" i="2" s="1"/>
  <c r="BV706" i="2" s="1"/>
  <c r="AP656" i="2"/>
  <c r="AP670" i="2" s="1"/>
  <c r="AP706" i="2" s="1"/>
  <c r="J656" i="2"/>
  <c r="J670" i="2" s="1"/>
  <c r="J706" i="2" s="1"/>
  <c r="AB656" i="2"/>
  <c r="AB670" i="2" s="1"/>
  <c r="AB706" i="2" s="1"/>
  <c r="CH654" i="2"/>
  <c r="CH668" i="2" s="1"/>
  <c r="CH704" i="2" s="1"/>
  <c r="BY656" i="2"/>
  <c r="BY670" i="2" s="1"/>
  <c r="BY706" i="2" s="1"/>
  <c r="CC654" i="2"/>
  <c r="CC668" i="2" s="1"/>
  <c r="CC704" i="2" s="1"/>
  <c r="AT657" i="2"/>
  <c r="AT671" i="2" s="1"/>
  <c r="AT707" i="2" s="1"/>
  <c r="BC657" i="2"/>
  <c r="BC671" i="2" s="1"/>
  <c r="BC707" i="2" s="1"/>
  <c r="AJ657" i="2"/>
  <c r="AJ671" i="2" s="1"/>
  <c r="AJ707" i="2" s="1"/>
  <c r="AP657" i="2"/>
  <c r="AP671" i="2" s="1"/>
  <c r="AP707" i="2" s="1"/>
  <c r="CF657" i="2"/>
  <c r="CF671" i="2" s="1"/>
  <c r="CF707" i="2" s="1"/>
  <c r="BJ657" i="2"/>
  <c r="BJ671" i="2" s="1"/>
  <c r="BJ707" i="2" s="1"/>
  <c r="W657" i="2"/>
  <c r="W671" i="2" s="1"/>
  <c r="W707" i="2" s="1"/>
  <c r="BY657" i="2"/>
  <c r="BY671" i="2" s="1"/>
  <c r="BY707" i="2" s="1"/>
  <c r="CM657" i="2"/>
  <c r="CM671" i="2" s="1"/>
  <c r="CM707" i="2" s="1"/>
  <c r="K657" i="2"/>
  <c r="K671" i="2" s="1"/>
  <c r="K707" i="2" s="1"/>
  <c r="BY654" i="2"/>
  <c r="BY668" i="2" s="1"/>
  <c r="BY704" i="2" s="1"/>
  <c r="AP654" i="2"/>
  <c r="AP668" i="2" s="1"/>
  <c r="AP704" i="2" s="1"/>
  <c r="AM654" i="2"/>
  <c r="AM668" i="2" s="1"/>
  <c r="AM704" i="2" s="1"/>
  <c r="BV654" i="2"/>
  <c r="BV668" i="2" s="1"/>
  <c r="BV704" i="2" s="1"/>
  <c r="BE654" i="2"/>
  <c r="BE668" i="2" s="1"/>
  <c r="BE704" i="2" s="1"/>
  <c r="D712" i="2" l="1"/>
  <c r="H19" i="8" s="1"/>
  <c r="D715" i="2"/>
  <c r="H22" i="8" s="1"/>
  <c r="D714" i="2"/>
  <c r="H21" i="8" s="1"/>
  <c r="Q408" i="2"/>
  <c r="G398" i="2"/>
  <c r="E420" i="2"/>
  <c r="O406" i="2"/>
  <c r="F397" i="2"/>
  <c r="P428" i="2"/>
  <c r="I400" i="2"/>
  <c r="J422" i="2"/>
  <c r="H399" i="2"/>
  <c r="N426" i="2"/>
  <c r="L403" i="2"/>
  <c r="L426" i="2"/>
  <c r="J424" i="2"/>
  <c r="E417" i="2"/>
  <c r="P407" i="2" l="1"/>
  <c r="O427" i="2"/>
  <c r="P427" i="2"/>
  <c r="G401" i="2"/>
  <c r="N405" i="2"/>
  <c r="G419" i="2"/>
  <c r="J421" i="2"/>
  <c r="J400" i="2"/>
  <c r="H398" i="2"/>
  <c r="J401" i="2"/>
  <c r="L405" i="2"/>
  <c r="K400" i="2"/>
  <c r="H420" i="2"/>
  <c r="H422" i="2"/>
  <c r="N429" i="2"/>
  <c r="F417" i="2"/>
  <c r="O405" i="2"/>
  <c r="G400" i="2"/>
  <c r="Q429" i="2"/>
  <c r="F404" i="2"/>
  <c r="Q428" i="2"/>
  <c r="I421" i="2"/>
  <c r="F418" i="2"/>
  <c r="J403" i="2"/>
  <c r="E396" i="2"/>
  <c r="E399" i="2"/>
  <c r="M425" i="2"/>
  <c r="M404" i="2"/>
  <c r="O408" i="2"/>
  <c r="O429" i="2"/>
  <c r="K423" i="2"/>
  <c r="K402" i="2"/>
  <c r="F399" i="2"/>
  <c r="F420" i="2"/>
  <c r="L424" i="2"/>
  <c r="G417" i="2" l="1"/>
  <c r="J420" i="2"/>
  <c r="F425" i="2"/>
  <c r="O426" i="2"/>
  <c r="F396" i="2"/>
  <c r="G422" i="2"/>
  <c r="M429" i="2"/>
  <c r="L406" i="2"/>
  <c r="H419" i="2"/>
  <c r="G421" i="2"/>
  <c r="H401" i="2"/>
  <c r="Q407" i="2"/>
  <c r="P406" i="2"/>
  <c r="N408" i="2"/>
  <c r="K421" i="2"/>
  <c r="N407" i="2"/>
  <c r="N428" i="2"/>
  <c r="K404" i="2"/>
  <c r="K425" i="2"/>
  <c r="K401" i="2"/>
  <c r="K422" i="2"/>
  <c r="H397" i="2"/>
  <c r="H418" i="2"/>
  <c r="K405" i="2"/>
  <c r="K426" i="2"/>
  <c r="M427" i="2"/>
  <c r="M406" i="2"/>
  <c r="M428" i="2"/>
  <c r="M407" i="2"/>
  <c r="Q426" i="2"/>
  <c r="Q405" i="2"/>
  <c r="D397" i="2"/>
  <c r="D418" i="2"/>
  <c r="G397" i="2"/>
  <c r="G418" i="2"/>
  <c r="P426" i="2"/>
  <c r="P405" i="2"/>
  <c r="G396" i="2"/>
  <c r="M424" i="2"/>
  <c r="M403" i="2"/>
  <c r="D398" i="2"/>
  <c r="D419" i="2"/>
  <c r="Q406" i="2"/>
  <c r="Q427" i="2"/>
  <c r="I420" i="2"/>
  <c r="I399" i="2"/>
  <c r="N403" i="2"/>
  <c r="N424" i="2"/>
  <c r="I402" i="2"/>
  <c r="I423" i="2"/>
  <c r="N425" i="2"/>
  <c r="N404" i="2"/>
  <c r="L402" i="2"/>
  <c r="L423" i="2"/>
  <c r="E419" i="2"/>
  <c r="E398" i="2"/>
  <c r="J399" i="2" l="1"/>
  <c r="H417" i="2"/>
  <c r="M408" i="2"/>
  <c r="L427" i="2"/>
  <c r="H423" i="2"/>
  <c r="H402" i="2"/>
  <c r="O425" i="2"/>
  <c r="O404" i="2"/>
  <c r="D399" i="2"/>
  <c r="D420" i="2"/>
  <c r="O403" i="2"/>
  <c r="O424" i="2"/>
  <c r="J404" i="2"/>
  <c r="J425" i="2"/>
  <c r="I397" i="2"/>
  <c r="I418" i="2"/>
  <c r="M402" i="2"/>
  <c r="M423" i="2"/>
  <c r="G402" i="2"/>
  <c r="G423" i="2"/>
  <c r="K406" i="2"/>
  <c r="K427" i="2"/>
  <c r="I419" i="2"/>
  <c r="I398" i="2"/>
  <c r="K399" i="2"/>
  <c r="K420" i="2"/>
  <c r="E400" i="2"/>
  <c r="E421" i="2"/>
  <c r="L422" i="2"/>
  <c r="L401" i="2"/>
  <c r="F400" i="2"/>
  <c r="F421" i="2"/>
  <c r="I403" i="2"/>
  <c r="I424" i="2"/>
  <c r="H396" i="2" l="1"/>
  <c r="L421" i="2"/>
  <c r="L400" i="2"/>
  <c r="H424" i="2"/>
  <c r="H403" i="2"/>
  <c r="L407" i="2"/>
  <c r="L428" i="2"/>
  <c r="P425" i="2"/>
  <c r="P404" i="2"/>
  <c r="M422" i="2"/>
  <c r="M401" i="2"/>
  <c r="L420" i="2"/>
  <c r="L399" i="2"/>
  <c r="J418" i="2"/>
  <c r="J397" i="2"/>
  <c r="K407" i="2"/>
  <c r="K428" i="2"/>
  <c r="I396" i="2"/>
  <c r="I417" i="2"/>
  <c r="J419" i="2"/>
  <c r="J398" i="2"/>
  <c r="N423" i="2"/>
  <c r="N402" i="2"/>
  <c r="F422" i="2"/>
  <c r="F401" i="2"/>
  <c r="P424" i="2"/>
  <c r="P403" i="2"/>
  <c r="E401" i="2"/>
  <c r="E422" i="2"/>
  <c r="J405" i="2"/>
  <c r="J426" i="2"/>
  <c r="D421" i="2"/>
  <c r="D400" i="2"/>
  <c r="I425" i="2"/>
  <c r="I404" i="2"/>
  <c r="G424" i="2"/>
  <c r="G403" i="2"/>
  <c r="H425" i="2" l="1"/>
  <c r="H404" i="2"/>
  <c r="M421" i="2"/>
  <c r="M400" i="2"/>
  <c r="Q425" i="2"/>
  <c r="Q404" i="2"/>
  <c r="L408" i="2"/>
  <c r="L429" i="2"/>
  <c r="F402" i="2"/>
  <c r="F423" i="2"/>
  <c r="M420" i="2"/>
  <c r="M399" i="2"/>
  <c r="J417" i="2"/>
  <c r="J396" i="2"/>
  <c r="E402" i="2"/>
  <c r="E423" i="2"/>
  <c r="O402" i="2"/>
  <c r="O423" i="2"/>
  <c r="Q403" i="2"/>
  <c r="Q424" i="2"/>
  <c r="K397" i="2"/>
  <c r="K418" i="2"/>
  <c r="I426" i="2"/>
  <c r="I405" i="2"/>
  <c r="J406" i="2"/>
  <c r="J427" i="2"/>
  <c r="K429" i="2"/>
  <c r="K408" i="2"/>
  <c r="K398" i="2"/>
  <c r="K419" i="2"/>
  <c r="G404" i="2"/>
  <c r="G425" i="2"/>
  <c r="D422" i="2"/>
  <c r="D401" i="2"/>
  <c r="N401" i="2"/>
  <c r="N422" i="2"/>
  <c r="H405" i="2" l="1"/>
  <c r="H426" i="2"/>
  <c r="N421" i="2"/>
  <c r="N400" i="2"/>
  <c r="N399" i="2"/>
  <c r="N420" i="2"/>
  <c r="I406" i="2"/>
  <c r="I427" i="2"/>
  <c r="L398" i="2"/>
  <c r="L419" i="2"/>
  <c r="O422" i="2"/>
  <c r="O401" i="2"/>
  <c r="E403" i="2"/>
  <c r="E424" i="2"/>
  <c r="D423" i="2"/>
  <c r="D402" i="2"/>
  <c r="F424" i="2"/>
  <c r="F403" i="2"/>
  <c r="J407" i="2"/>
  <c r="J428" i="2"/>
  <c r="K396" i="2"/>
  <c r="K417" i="2"/>
  <c r="L418" i="2"/>
  <c r="L397" i="2"/>
  <c r="G426" i="2"/>
  <c r="G405" i="2"/>
  <c r="P402" i="2"/>
  <c r="P423" i="2"/>
  <c r="H427" i="2" l="1"/>
  <c r="H406" i="2"/>
  <c r="O421" i="2"/>
  <c r="O400" i="2"/>
  <c r="M398" i="2"/>
  <c r="M419" i="2"/>
  <c r="O399" i="2"/>
  <c r="O420" i="2"/>
  <c r="D403" i="2"/>
  <c r="D424" i="2"/>
  <c r="E404" i="2"/>
  <c r="E425" i="2"/>
  <c r="I407" i="2"/>
  <c r="I428" i="2"/>
  <c r="G406" i="2"/>
  <c r="G427" i="2"/>
  <c r="P422" i="2"/>
  <c r="P401" i="2"/>
  <c r="Q402" i="2"/>
  <c r="Q423" i="2"/>
  <c r="M397" i="2"/>
  <c r="M418" i="2"/>
  <c r="J408" i="2"/>
  <c r="J429" i="2"/>
  <c r="L396" i="2"/>
  <c r="L417" i="2"/>
  <c r="P421" i="2" l="1"/>
  <c r="P400" i="2"/>
  <c r="H407" i="2"/>
  <c r="H428" i="2"/>
  <c r="D404" i="2"/>
  <c r="D425" i="2"/>
  <c r="N397" i="2"/>
  <c r="N418" i="2"/>
  <c r="M417" i="2"/>
  <c r="M396" i="2"/>
  <c r="E426" i="2"/>
  <c r="E405" i="2"/>
  <c r="I408" i="2"/>
  <c r="I429" i="2"/>
  <c r="F405" i="2"/>
  <c r="F426" i="2"/>
  <c r="Q422" i="2"/>
  <c r="Q401" i="2"/>
  <c r="P399" i="2"/>
  <c r="P420" i="2"/>
  <c r="N419" i="2"/>
  <c r="N398" i="2"/>
  <c r="G407" i="2"/>
  <c r="G428" i="2"/>
  <c r="Q400" i="2" l="1"/>
  <c r="Q421" i="2"/>
  <c r="H429" i="2"/>
  <c r="H408" i="2"/>
  <c r="Q420" i="2"/>
  <c r="Q399" i="2"/>
  <c r="D405" i="2"/>
  <c r="D426" i="2"/>
  <c r="E406" i="2"/>
  <c r="E427" i="2"/>
  <c r="F427" i="2"/>
  <c r="F406" i="2"/>
  <c r="O418" i="2"/>
  <c r="O397" i="2"/>
  <c r="O419" i="2"/>
  <c r="O398" i="2"/>
  <c r="G429" i="2"/>
  <c r="G408" i="2"/>
  <c r="N396" i="2"/>
  <c r="N417" i="2"/>
  <c r="D406" i="2" l="1"/>
  <c r="D427" i="2"/>
  <c r="P418" i="2"/>
  <c r="P397" i="2"/>
  <c r="P398" i="2"/>
  <c r="P419" i="2"/>
  <c r="E428" i="2"/>
  <c r="E407" i="2"/>
  <c r="F428" i="2"/>
  <c r="F407" i="2"/>
  <c r="O417" i="2"/>
  <c r="O396" i="2"/>
  <c r="Q419" i="2" l="1"/>
  <c r="Q398" i="2"/>
  <c r="P417" i="2"/>
  <c r="P396" i="2"/>
  <c r="D407" i="2"/>
  <c r="F408" i="2"/>
  <c r="F429" i="2"/>
  <c r="Q418" i="2"/>
  <c r="Q397" i="2"/>
  <c r="E408" i="2"/>
  <c r="E429" i="2"/>
  <c r="Q417" i="2" l="1"/>
  <c r="Q396" i="2"/>
  <c r="D429" i="2"/>
  <c r="D408" i="2"/>
  <c r="C432" i="2" l="1"/>
  <c r="C411" i="2"/>
  <c r="BF601" i="2" l="1"/>
  <c r="AW601" i="2"/>
  <c r="BR601" i="2"/>
  <c r="CK601" i="2"/>
  <c r="X601" i="2"/>
  <c r="AN601" i="2"/>
  <c r="CE601" i="2"/>
  <c r="S601" i="2"/>
  <c r="BH601" i="2"/>
  <c r="AI601" i="2"/>
  <c r="AU601" i="2"/>
  <c r="BN601" i="2"/>
  <c r="AK601" i="2"/>
  <c r="CO601" i="2"/>
  <c r="U601" i="2"/>
  <c r="CL601" i="2"/>
  <c r="CM601" i="2"/>
  <c r="CB601" i="2"/>
  <c r="BJ601" i="2"/>
  <c r="AO601" i="2"/>
  <c r="BU601" i="2"/>
  <c r="N601" i="2"/>
  <c r="CH601" i="2"/>
  <c r="H601" i="2"/>
  <c r="CN601" i="2"/>
  <c r="AZ601" i="2"/>
  <c r="AT601" i="2"/>
  <c r="CG601" i="2"/>
  <c r="I601" i="2"/>
  <c r="L601" i="2"/>
  <c r="Q601" i="2"/>
  <c r="AC601" i="2"/>
  <c r="AM601" i="2"/>
  <c r="E601" i="2"/>
  <c r="G601" i="2"/>
  <c r="BK601" i="2"/>
  <c r="BM601" i="2"/>
  <c r="AL601" i="2"/>
  <c r="CF601" i="2"/>
  <c r="CI601" i="2"/>
  <c r="BI601" i="2"/>
  <c r="CA601" i="2"/>
  <c r="AB601" i="2"/>
  <c r="AX601" i="2"/>
  <c r="CC601" i="2"/>
  <c r="BC601" i="2"/>
  <c r="AS601" i="2"/>
  <c r="AJ601" i="2"/>
  <c r="AA601" i="2"/>
  <c r="BD601" i="2"/>
  <c r="CP601" i="2"/>
  <c r="BP601" i="2"/>
  <c r="R601" i="2"/>
  <c r="AH601" i="2"/>
  <c r="CJ601" i="2"/>
  <c r="D601" i="2"/>
  <c r="CD601" i="2"/>
  <c r="BZ601" i="2"/>
  <c r="BL601" i="2"/>
  <c r="BB601" i="2"/>
  <c r="AE601" i="2"/>
  <c r="AY601" i="2"/>
  <c r="O601" i="2"/>
  <c r="J601" i="2"/>
  <c r="AV601" i="2"/>
  <c r="AG601" i="2"/>
  <c r="BG601" i="2"/>
  <c r="BY601" i="2"/>
  <c r="AD601" i="2"/>
  <c r="BT601" i="2"/>
  <c r="BV601" i="2"/>
  <c r="Z601" i="2"/>
  <c r="BS601" i="2"/>
  <c r="V601" i="2"/>
  <c r="F601" i="2"/>
  <c r="W601" i="2"/>
  <c r="AF601" i="2"/>
  <c r="M601" i="2"/>
  <c r="BX601" i="2"/>
  <c r="AQ601" i="2"/>
  <c r="BW601" i="2"/>
  <c r="P601" i="2"/>
  <c r="BA601" i="2"/>
  <c r="BE601" i="2"/>
  <c r="T601" i="2"/>
  <c r="BQ601" i="2"/>
  <c r="Y601" i="2"/>
  <c r="BO601" i="2"/>
  <c r="K601" i="2"/>
  <c r="AP601" i="2"/>
  <c r="AR601" i="2"/>
  <c r="D602" i="2"/>
  <c r="CM604" i="2"/>
  <c r="BO604" i="2"/>
  <c r="BN602" i="2"/>
  <c r="BI602" i="2"/>
  <c r="CF604" i="2"/>
  <c r="AV602" i="2"/>
  <c r="AW604" i="2"/>
  <c r="AR604" i="2"/>
  <c r="BF602" i="2"/>
  <c r="H602" i="2"/>
  <c r="CA602" i="2"/>
  <c r="BE602" i="2"/>
  <c r="N602" i="2"/>
  <c r="CE604" i="2"/>
  <c r="AI604" i="2"/>
  <c r="CO604" i="2"/>
  <c r="AA602" i="2"/>
  <c r="Q602" i="2"/>
  <c r="R604" i="2"/>
  <c r="AO604" i="2"/>
  <c r="Z604" i="2"/>
  <c r="BY602" i="2"/>
  <c r="BR602" i="2"/>
  <c r="AG604" i="2"/>
  <c r="AC602" i="2"/>
  <c r="BN604" i="2"/>
  <c r="BV604" i="2"/>
  <c r="BC604" i="2"/>
  <c r="AP604" i="2"/>
  <c r="U602" i="2"/>
  <c r="AU602" i="2"/>
  <c r="AV604" i="2"/>
  <c r="AW602" i="2"/>
  <c r="BA602" i="2"/>
  <c r="BT604" i="2"/>
  <c r="CD604" i="2"/>
  <c r="CN604" i="2"/>
  <c r="AQ604" i="2"/>
  <c r="BQ602" i="2"/>
  <c r="BT602" i="2"/>
  <c r="CF602" i="2"/>
  <c r="K604" i="2"/>
  <c r="BV602" i="2"/>
  <c r="AI602" i="2"/>
  <c r="BJ602" i="2"/>
  <c r="BD602" i="2"/>
  <c r="BL604" i="2"/>
  <c r="AQ602" i="2"/>
  <c r="AL604" i="2"/>
  <c r="BJ604" i="2"/>
  <c r="AH602" i="2"/>
  <c r="CP604" i="2"/>
  <c r="AE602" i="2"/>
  <c r="BH604" i="2"/>
  <c r="AK604" i="2"/>
  <c r="BG602" i="2"/>
  <c r="AE604" i="2"/>
  <c r="AM602" i="2"/>
  <c r="CC604" i="2"/>
  <c r="BW604" i="2"/>
  <c r="CP602" i="2"/>
  <c r="AG602" i="2"/>
  <c r="AZ604" i="2"/>
  <c r="AR602" i="2"/>
  <c r="S604" i="2"/>
  <c r="AZ602" i="2"/>
  <c r="BE604" i="2"/>
  <c r="CE602" i="2"/>
  <c r="BD604" i="2"/>
  <c r="D604" i="2"/>
  <c r="Q604" i="2"/>
  <c r="BB602" i="2"/>
  <c r="W604" i="2"/>
  <c r="C434" i="2"/>
  <c r="CC603" i="2" s="1"/>
  <c r="O602" i="2"/>
  <c r="AF604" i="2"/>
  <c r="BM604" i="2"/>
  <c r="E602" i="2"/>
  <c r="BS604" i="2"/>
  <c r="BR604" i="2"/>
  <c r="P604" i="2"/>
  <c r="CG604" i="2"/>
  <c r="L602" i="2"/>
  <c r="AJ602" i="2"/>
  <c r="BG604" i="2"/>
  <c r="CH602" i="2"/>
  <c r="U604" i="2"/>
  <c r="CC602" i="2"/>
  <c r="BM602" i="2"/>
  <c r="CJ602" i="2"/>
  <c r="AK602" i="2"/>
  <c r="K602" i="2"/>
  <c r="AL602" i="2"/>
  <c r="F604" i="2"/>
  <c r="CG602" i="2"/>
  <c r="M602" i="2"/>
  <c r="CK602" i="2"/>
  <c r="CB602" i="2"/>
  <c r="BX604" i="2"/>
  <c r="AD602" i="2"/>
  <c r="AA604" i="2"/>
  <c r="CM602" i="2"/>
  <c r="O604" i="2"/>
  <c r="BB604" i="2"/>
  <c r="CB604" i="2"/>
  <c r="BH602" i="2"/>
  <c r="N604" i="2"/>
  <c r="CJ604" i="2"/>
  <c r="AU604" i="2"/>
  <c r="I604" i="2"/>
  <c r="F602" i="2"/>
  <c r="AB602" i="2"/>
  <c r="Z602" i="2"/>
  <c r="X602" i="2"/>
  <c r="BC602" i="2"/>
  <c r="BX602" i="2"/>
  <c r="G602" i="2"/>
  <c r="AO602" i="2"/>
  <c r="G604" i="2"/>
  <c r="BA604" i="2"/>
  <c r="BU604" i="2"/>
  <c r="BI604" i="2"/>
  <c r="L604" i="2"/>
  <c r="AP602" i="2"/>
  <c r="AX602" i="2"/>
  <c r="AN604" i="2"/>
  <c r="J604" i="2"/>
  <c r="AN602" i="2"/>
  <c r="BU602" i="2"/>
  <c r="T602" i="2"/>
  <c r="Y604" i="2"/>
  <c r="I602" i="2"/>
  <c r="CO602" i="2"/>
  <c r="BO602" i="2"/>
  <c r="CN602" i="2"/>
  <c r="AS602" i="2"/>
  <c r="CL604" i="2"/>
  <c r="AY602" i="2"/>
  <c r="CD602" i="2"/>
  <c r="BZ602" i="2"/>
  <c r="BS602" i="2"/>
  <c r="BP604" i="2"/>
  <c r="BW602" i="2"/>
  <c r="BZ604" i="2"/>
  <c r="X604" i="2"/>
  <c r="AT602" i="2"/>
  <c r="AH604" i="2"/>
  <c r="R602" i="2"/>
  <c r="AT604" i="2"/>
  <c r="BK604" i="2"/>
  <c r="V602" i="2"/>
  <c r="AY604" i="2"/>
  <c r="BF604" i="2"/>
  <c r="Y602" i="2"/>
  <c r="P602" i="2"/>
  <c r="BP602" i="2"/>
  <c r="E604" i="2"/>
  <c r="AM604" i="2"/>
  <c r="CI604" i="2"/>
  <c r="AC604" i="2"/>
  <c r="AD604" i="2"/>
  <c r="CI602" i="2"/>
  <c r="M604" i="2"/>
  <c r="AJ604" i="2"/>
  <c r="AX604" i="2"/>
  <c r="AF602" i="2"/>
  <c r="CK604" i="2"/>
  <c r="BY604" i="2"/>
  <c r="J602" i="2"/>
  <c r="AS604" i="2"/>
  <c r="W602" i="2"/>
  <c r="V604" i="2"/>
  <c r="S602" i="2"/>
  <c r="CL602" i="2"/>
  <c r="BL602" i="2"/>
  <c r="AB604" i="2"/>
  <c r="BQ604" i="2"/>
  <c r="CH604" i="2"/>
  <c r="BK602" i="2"/>
  <c r="T604" i="2"/>
  <c r="H604" i="2"/>
  <c r="CA604" i="2"/>
  <c r="D603" i="2" l="1"/>
  <c r="D605" i="2" s="1"/>
  <c r="AM603" i="2"/>
  <c r="AM605" i="2" s="1"/>
  <c r="BH603" i="2"/>
  <c r="BH605" i="2" s="1"/>
  <c r="AJ603" i="2"/>
  <c r="AJ605" i="2" s="1"/>
  <c r="AO603" i="2"/>
  <c r="AO605" i="2" s="1"/>
  <c r="BJ603" i="2"/>
  <c r="BJ605" i="2" s="1"/>
  <c r="AN603" i="2"/>
  <c r="AN605" i="2" s="1"/>
  <c r="AR603" i="2"/>
  <c r="AR605" i="2" s="1"/>
  <c r="N603" i="2"/>
  <c r="N605" i="2" s="1"/>
  <c r="BE603" i="2"/>
  <c r="BE605" i="2" s="1"/>
  <c r="Y603" i="2"/>
  <c r="Y605" i="2" s="1"/>
  <c r="L603" i="2"/>
  <c r="L605" i="2" s="1"/>
  <c r="CB603" i="2"/>
  <c r="CB605" i="2" s="1"/>
  <c r="BG603" i="2"/>
  <c r="BG605" i="2" s="1"/>
  <c r="AA603" i="2"/>
  <c r="AA605" i="2" s="1"/>
  <c r="AG603" i="2"/>
  <c r="AG605" i="2" s="1"/>
  <c r="CN603" i="2"/>
  <c r="CN605" i="2" s="1"/>
  <c r="AT603" i="2"/>
  <c r="W603" i="2"/>
  <c r="W605" i="2" s="1"/>
  <c r="BQ603" i="2"/>
  <c r="BQ605" i="2" s="1"/>
  <c r="Z603" i="2"/>
  <c r="Z605" i="2" s="1"/>
  <c r="AS603" i="2"/>
  <c r="AS605" i="2" s="1"/>
  <c r="BB603" i="2"/>
  <c r="BB605" i="2" s="1"/>
  <c r="AK603" i="2"/>
  <c r="AK605" i="2" s="1"/>
  <c r="BX603" i="2"/>
  <c r="BX605" i="2" s="1"/>
  <c r="BI603" i="2"/>
  <c r="BI605" i="2" s="1"/>
  <c r="BW603" i="2"/>
  <c r="BW605" i="2" s="1"/>
  <c r="CM603" i="2"/>
  <c r="CM605" i="2" s="1"/>
  <c r="CF603" i="2"/>
  <c r="CF605" i="2" s="1"/>
  <c r="AT605" i="2"/>
  <c r="E603" i="2"/>
  <c r="E605" i="2" s="1"/>
  <c r="AW603" i="2"/>
  <c r="AW605" i="2" s="1"/>
  <c r="K603" i="2"/>
  <c r="K605" i="2" s="1"/>
  <c r="CH603" i="2"/>
  <c r="CH605" i="2" s="1"/>
  <c r="CD603" i="2"/>
  <c r="CD605" i="2" s="1"/>
  <c r="AQ603" i="2"/>
  <c r="AQ605" i="2" s="1"/>
  <c r="AD603" i="2"/>
  <c r="AD605" i="2" s="1"/>
  <c r="BP603" i="2"/>
  <c r="BP605" i="2" s="1"/>
  <c r="P603" i="2"/>
  <c r="P605" i="2" s="1"/>
  <c r="BM603" i="2"/>
  <c r="BM605" i="2" s="1"/>
  <c r="BZ603" i="2"/>
  <c r="BZ605" i="2" s="1"/>
  <c r="H603" i="2"/>
  <c r="H605" i="2" s="1"/>
  <c r="CP603" i="2"/>
  <c r="CP605" i="2" s="1"/>
  <c r="CI603" i="2"/>
  <c r="CI605" i="2" s="1"/>
  <c r="AE603" i="2"/>
  <c r="AE605" i="2" s="1"/>
  <c r="BY603" i="2"/>
  <c r="BY605" i="2" s="1"/>
  <c r="AL603" i="2"/>
  <c r="AL605" i="2" s="1"/>
  <c r="J603" i="2"/>
  <c r="J605" i="2" s="1"/>
  <c r="J655" i="2" s="1"/>
  <c r="BN603" i="2"/>
  <c r="BN605" i="2" s="1"/>
  <c r="AV603" i="2"/>
  <c r="AV605" i="2" s="1"/>
  <c r="CC605" i="2"/>
  <c r="BA603" i="2"/>
  <c r="BA605" i="2" s="1"/>
  <c r="AY603" i="2"/>
  <c r="AY605" i="2" s="1"/>
  <c r="AU603" i="2"/>
  <c r="AU605" i="2" s="1"/>
  <c r="S603" i="2"/>
  <c r="S605" i="2" s="1"/>
  <c r="F603" i="2"/>
  <c r="F605" i="2" s="1"/>
  <c r="X603" i="2"/>
  <c r="X605" i="2" s="1"/>
  <c r="BF603" i="2"/>
  <c r="BF605" i="2" s="1"/>
  <c r="Q603" i="2"/>
  <c r="Q605" i="2" s="1"/>
  <c r="BV603" i="2"/>
  <c r="BV605" i="2" s="1"/>
  <c r="CO603" i="2"/>
  <c r="CO605" i="2" s="1"/>
  <c r="BU603" i="2"/>
  <c r="BU605" i="2" s="1"/>
  <c r="CE603" i="2"/>
  <c r="CE605" i="2" s="1"/>
  <c r="CJ603" i="2"/>
  <c r="CJ605" i="2" s="1"/>
  <c r="AF603" i="2"/>
  <c r="AF605" i="2" s="1"/>
  <c r="AC603" i="2"/>
  <c r="AC605" i="2" s="1"/>
  <c r="CG603" i="2"/>
  <c r="CG605" i="2" s="1"/>
  <c r="AI603" i="2"/>
  <c r="AI605" i="2" s="1"/>
  <c r="R603" i="2"/>
  <c r="R605" i="2" s="1"/>
  <c r="I603" i="2"/>
  <c r="I605" i="2" s="1"/>
  <c r="V603" i="2"/>
  <c r="V605" i="2" s="1"/>
  <c r="AX603" i="2"/>
  <c r="AX605" i="2" s="1"/>
  <c r="BR603" i="2"/>
  <c r="BR605" i="2" s="1"/>
  <c r="T603" i="2"/>
  <c r="T605" i="2" s="1"/>
  <c r="BO603" i="2"/>
  <c r="BO605" i="2" s="1"/>
  <c r="M603" i="2"/>
  <c r="M605" i="2" s="1"/>
  <c r="BL603" i="2"/>
  <c r="BL605" i="2" s="1"/>
  <c r="BD603" i="2"/>
  <c r="BD605" i="2" s="1"/>
  <c r="BS603" i="2"/>
  <c r="BS605" i="2" s="1"/>
  <c r="CA603" i="2"/>
  <c r="CA605" i="2" s="1"/>
  <c r="AZ603" i="2"/>
  <c r="AZ605" i="2" s="1"/>
  <c r="AP603" i="2"/>
  <c r="AP605" i="2" s="1"/>
  <c r="G603" i="2"/>
  <c r="G605" i="2" s="1"/>
  <c r="O603" i="2"/>
  <c r="O605" i="2" s="1"/>
  <c r="BK603" i="2"/>
  <c r="BK605" i="2" s="1"/>
  <c r="BT603" i="2"/>
  <c r="BT605" i="2" s="1"/>
  <c r="AH603" i="2"/>
  <c r="AH605" i="2" s="1"/>
  <c r="AB603" i="2"/>
  <c r="AB605" i="2" s="1"/>
  <c r="CL603" i="2"/>
  <c r="CL605" i="2" s="1"/>
  <c r="U603" i="2"/>
  <c r="U605" i="2" s="1"/>
  <c r="BC603" i="2"/>
  <c r="BC605" i="2" s="1"/>
  <c r="CK603" i="2"/>
  <c r="CK605" i="2" s="1"/>
  <c r="U655" i="2" l="1"/>
  <c r="U669" i="2" s="1"/>
  <c r="U705" i="2" s="1"/>
  <c r="I655" i="2"/>
  <c r="I669" i="2" s="1"/>
  <c r="I705" i="2" s="1"/>
  <c r="BF655" i="2"/>
  <c r="BF669" i="2" s="1"/>
  <c r="BF705" i="2" s="1"/>
  <c r="CK655" i="2"/>
  <c r="CK669" i="2" s="1"/>
  <c r="CK705" i="2" s="1"/>
  <c r="AB655" i="2"/>
  <c r="AB669" i="2" s="1"/>
  <c r="AB705" i="2" s="1"/>
  <c r="O655" i="2"/>
  <c r="O669" i="2" s="1"/>
  <c r="O705" i="2" s="1"/>
  <c r="CA655" i="2"/>
  <c r="CA669" i="2" s="1"/>
  <c r="CA705" i="2" s="1"/>
  <c r="M655" i="2"/>
  <c r="M669" i="2" s="1"/>
  <c r="M705" i="2" s="1"/>
  <c r="AX655" i="2"/>
  <c r="AX669" i="2" s="1"/>
  <c r="AX705" i="2" s="1"/>
  <c r="AI655" i="2"/>
  <c r="AI669" i="2" s="1"/>
  <c r="AI705" i="2" s="1"/>
  <c r="CJ655" i="2"/>
  <c r="CJ669" i="2" s="1"/>
  <c r="CJ705" i="2" s="1"/>
  <c r="BV655" i="2"/>
  <c r="BV669" i="2" s="1"/>
  <c r="BV705" i="2" s="1"/>
  <c r="F655" i="2"/>
  <c r="F669" i="2" s="1"/>
  <c r="F705" i="2" s="1"/>
  <c r="BA655" i="2"/>
  <c r="BA669" i="2" s="1"/>
  <c r="BA705" i="2" s="1"/>
  <c r="J669" i="2"/>
  <c r="J705" i="2" s="1"/>
  <c r="CI655" i="2"/>
  <c r="CI669" i="2" s="1"/>
  <c r="CI705" i="2" s="1"/>
  <c r="BM655" i="2"/>
  <c r="BM669" i="2" s="1"/>
  <c r="BM705" i="2" s="1"/>
  <c r="AQ655" i="2"/>
  <c r="AQ669" i="2" s="1"/>
  <c r="AQ705" i="2" s="1"/>
  <c r="AW655" i="2"/>
  <c r="AW669" i="2" s="1"/>
  <c r="AW705" i="2" s="1"/>
  <c r="CM655" i="2"/>
  <c r="CM669" i="2" s="1"/>
  <c r="CM705" i="2" s="1"/>
  <c r="AK655" i="2"/>
  <c r="AK669" i="2" s="1"/>
  <c r="AK705" i="2" s="1"/>
  <c r="BQ655" i="2"/>
  <c r="BQ669" i="2" s="1"/>
  <c r="BQ705" i="2" s="1"/>
  <c r="AG655" i="2"/>
  <c r="AG669" i="2" s="1"/>
  <c r="AG705" i="2" s="1"/>
  <c r="L655" i="2"/>
  <c r="L669" i="2" s="1"/>
  <c r="L705" i="2" s="1"/>
  <c r="AR655" i="2"/>
  <c r="AR669" i="2" s="1"/>
  <c r="AR705" i="2" s="1"/>
  <c r="AJ655" i="2"/>
  <c r="AJ669" i="2" s="1"/>
  <c r="AJ705" i="2" s="1"/>
  <c r="BT655" i="2"/>
  <c r="BT669" i="2" s="1"/>
  <c r="BT705" i="2" s="1"/>
  <c r="T655" i="2"/>
  <c r="T669" i="2" s="1"/>
  <c r="T705" i="2" s="1"/>
  <c r="AU655" i="2"/>
  <c r="AU669" i="2" s="1"/>
  <c r="AU705" i="2" s="1"/>
  <c r="BC655" i="2"/>
  <c r="BC669" i="2" s="1"/>
  <c r="BC705" i="2" s="1"/>
  <c r="AH655" i="2"/>
  <c r="AH669" i="2" s="1"/>
  <c r="AH705" i="2" s="1"/>
  <c r="G655" i="2"/>
  <c r="G669" i="2" s="1"/>
  <c r="G705" i="2" s="1"/>
  <c r="BS655" i="2"/>
  <c r="BS669" i="2" s="1"/>
  <c r="BS705" i="2" s="1"/>
  <c r="BO655" i="2"/>
  <c r="BO669" i="2" s="1"/>
  <c r="BO705" i="2" s="1"/>
  <c r="V655" i="2"/>
  <c r="V669" i="2" s="1"/>
  <c r="V705" i="2" s="1"/>
  <c r="CG655" i="2"/>
  <c r="CG669" i="2" s="1"/>
  <c r="CG705" i="2" s="1"/>
  <c r="CE655" i="2"/>
  <c r="CE669" i="2" s="1"/>
  <c r="CE705" i="2" s="1"/>
  <c r="Q655" i="2"/>
  <c r="Q669" i="2" s="1"/>
  <c r="Q705" i="2" s="1"/>
  <c r="S655" i="2"/>
  <c r="S669" i="2" s="1"/>
  <c r="S705" i="2" s="1"/>
  <c r="CC655" i="2"/>
  <c r="CC669" i="2" s="1"/>
  <c r="CC705" i="2" s="1"/>
  <c r="AL655" i="2"/>
  <c r="AL669" i="2" s="1"/>
  <c r="AL705" i="2" s="1"/>
  <c r="CP655" i="2"/>
  <c r="CP669" i="2" s="1"/>
  <c r="CP705" i="2" s="1"/>
  <c r="P655" i="2"/>
  <c r="P669" i="2" s="1"/>
  <c r="P705" i="2" s="1"/>
  <c r="CD655" i="2"/>
  <c r="CD669" i="2" s="1"/>
  <c r="CD705" i="2" s="1"/>
  <c r="E655" i="2"/>
  <c r="E669" i="2" s="1"/>
  <c r="E705" i="2" s="1"/>
  <c r="BW655" i="2"/>
  <c r="BW669" i="2" s="1"/>
  <c r="BW705" i="2" s="1"/>
  <c r="BB655" i="2"/>
  <c r="BB669" i="2" s="1"/>
  <c r="BB705" i="2" s="1"/>
  <c r="W655" i="2"/>
  <c r="W669" i="2" s="1"/>
  <c r="W705" i="2" s="1"/>
  <c r="AA655" i="2"/>
  <c r="AA669" i="2" s="1"/>
  <c r="AA705" i="2" s="1"/>
  <c r="Y655" i="2"/>
  <c r="Y669" i="2" s="1"/>
  <c r="Y705" i="2" s="1"/>
  <c r="AN655" i="2"/>
  <c r="AN669" i="2" s="1"/>
  <c r="AN705" i="2" s="1"/>
  <c r="BH655" i="2"/>
  <c r="BH669" i="2" s="1"/>
  <c r="BH705" i="2" s="1"/>
  <c r="AP655" i="2"/>
  <c r="AP669" i="2" s="1"/>
  <c r="AP705" i="2" s="1"/>
  <c r="BD655" i="2"/>
  <c r="BD669" i="2" s="1"/>
  <c r="BD705" i="2" s="1"/>
  <c r="AC655" i="2"/>
  <c r="AC669" i="2" s="1"/>
  <c r="AC705" i="2" s="1"/>
  <c r="BU655" i="2"/>
  <c r="BU669" i="2" s="1"/>
  <c r="BU705" i="2" s="1"/>
  <c r="AV655" i="2"/>
  <c r="AV669" i="2" s="1"/>
  <c r="AV705" i="2" s="1"/>
  <c r="BY655" i="2"/>
  <c r="BY669" i="2" s="1"/>
  <c r="BY705" i="2" s="1"/>
  <c r="H655" i="2"/>
  <c r="H669" i="2" s="1"/>
  <c r="H705" i="2" s="1"/>
  <c r="BP655" i="2"/>
  <c r="BP669" i="2" s="1"/>
  <c r="BP705" i="2" s="1"/>
  <c r="CH655" i="2"/>
  <c r="CH669" i="2" s="1"/>
  <c r="CH705" i="2" s="1"/>
  <c r="AT655" i="2"/>
  <c r="AT669" i="2" s="1"/>
  <c r="AT705" i="2" s="1"/>
  <c r="BI655" i="2"/>
  <c r="BI669" i="2" s="1"/>
  <c r="BI705" i="2" s="1"/>
  <c r="AS655" i="2"/>
  <c r="AS669" i="2" s="1"/>
  <c r="AS705" i="2" s="1"/>
  <c r="BG655" i="2"/>
  <c r="BG669" i="2" s="1"/>
  <c r="BG705" i="2" s="1"/>
  <c r="BE655" i="2"/>
  <c r="BE669" i="2" s="1"/>
  <c r="BE705" i="2" s="1"/>
  <c r="BJ655" i="2"/>
  <c r="BJ669" i="2" s="1"/>
  <c r="BJ705" i="2" s="1"/>
  <c r="AM655" i="2"/>
  <c r="AM669" i="2" s="1"/>
  <c r="AM705" i="2" s="1"/>
  <c r="CL655" i="2"/>
  <c r="CL669" i="2" s="1"/>
  <c r="CL705" i="2" s="1"/>
  <c r="BK655" i="2"/>
  <c r="BK669" i="2" s="1"/>
  <c r="BK705" i="2" s="1"/>
  <c r="AZ655" i="2"/>
  <c r="AZ669" i="2" s="1"/>
  <c r="AZ705" i="2" s="1"/>
  <c r="BL655" i="2"/>
  <c r="BL669" i="2" s="1"/>
  <c r="BL705" i="2" s="1"/>
  <c r="BR655" i="2"/>
  <c r="BR669" i="2" s="1"/>
  <c r="BR705" i="2" s="1"/>
  <c r="R655" i="2"/>
  <c r="R669" i="2" s="1"/>
  <c r="R705" i="2" s="1"/>
  <c r="AF655" i="2"/>
  <c r="AF669" i="2" s="1"/>
  <c r="AF705" i="2" s="1"/>
  <c r="CO655" i="2"/>
  <c r="CO669" i="2" s="1"/>
  <c r="CO705" i="2" s="1"/>
  <c r="X655" i="2"/>
  <c r="X669" i="2" s="1"/>
  <c r="X705" i="2" s="1"/>
  <c r="AY655" i="2"/>
  <c r="AY669" i="2" s="1"/>
  <c r="AY705" i="2" s="1"/>
  <c r="BN655" i="2"/>
  <c r="BN669" i="2" s="1"/>
  <c r="BN705" i="2" s="1"/>
  <c r="AE655" i="2"/>
  <c r="AE669" i="2" s="1"/>
  <c r="AE705" i="2" s="1"/>
  <c r="BZ655" i="2"/>
  <c r="BZ669" i="2" s="1"/>
  <c r="BZ705" i="2" s="1"/>
  <c r="AD655" i="2"/>
  <c r="AD669" i="2" s="1"/>
  <c r="AD705" i="2" s="1"/>
  <c r="K655" i="2"/>
  <c r="K669" i="2" s="1"/>
  <c r="K705" i="2" s="1"/>
  <c r="CF655" i="2"/>
  <c r="CF669" i="2" s="1"/>
  <c r="CF705" i="2" s="1"/>
  <c r="BX655" i="2"/>
  <c r="BX669" i="2" s="1"/>
  <c r="BX705" i="2" s="1"/>
  <c r="Z655" i="2"/>
  <c r="Z669" i="2" s="1"/>
  <c r="Z705" i="2" s="1"/>
  <c r="CN655" i="2"/>
  <c r="CN669" i="2" s="1"/>
  <c r="CN705" i="2" s="1"/>
  <c r="CB655" i="2"/>
  <c r="CB669" i="2" s="1"/>
  <c r="CB705" i="2" s="1"/>
  <c r="N655" i="2"/>
  <c r="N669" i="2" s="1"/>
  <c r="N705" i="2" s="1"/>
  <c r="AO655" i="2"/>
  <c r="AO669" i="2" s="1"/>
  <c r="AO705" i="2" s="1"/>
  <c r="D655" i="2"/>
  <c r="D669" i="2" s="1"/>
  <c r="D705" i="2" s="1"/>
  <c r="D713" i="2" l="1"/>
  <c r="D720" i="2" l="1"/>
  <c r="H16" i="8" s="1"/>
  <c r="H20" i="8"/>
</calcChain>
</file>

<file path=xl/sharedStrings.xml><?xml version="1.0" encoding="utf-8"?>
<sst xmlns="http://schemas.openxmlformats.org/spreadsheetml/2006/main" count="1972" uniqueCount="841">
  <si>
    <t>Noise  Workbook - Inputs</t>
  </si>
  <si>
    <t>Scheme details</t>
  </si>
  <si>
    <t>Scheme name</t>
  </si>
  <si>
    <t>Opening year</t>
  </si>
  <si>
    <t>Opening_year_in</t>
  </si>
  <si>
    <t>Forecast year</t>
  </si>
  <si>
    <t>Forecast_year_in</t>
  </si>
  <si>
    <t>Scheme type (select from list)</t>
  </si>
  <si>
    <t>Scheme_type</t>
  </si>
  <si>
    <t>Current year</t>
  </si>
  <si>
    <t>Current_year_in</t>
  </si>
  <si>
    <t>Household size</t>
  </si>
  <si>
    <t>Noise modelling inputs</t>
  </si>
  <si>
    <t>Opening year: no. of households experiencing 'without scheme' and 'with scheme' noise levels</t>
  </si>
  <si>
    <t>(dB Leq, 16h)</t>
  </si>
  <si>
    <t>With scheme</t>
  </si>
  <si>
    <t>&lt;45</t>
  </si>
  <si>
    <t>45-48</t>
  </si>
  <si>
    <t>48-51</t>
  </si>
  <si>
    <t>51-54</t>
  </si>
  <si>
    <t>54-57</t>
  </si>
  <si>
    <t>57-60</t>
  </si>
  <si>
    <t>60-63</t>
  </si>
  <si>
    <t>63-66</t>
  </si>
  <si>
    <t>66-69</t>
  </si>
  <si>
    <t>69-72</t>
  </si>
  <si>
    <t>72-75</t>
  </si>
  <si>
    <t>75-78</t>
  </si>
  <si>
    <t>78-81</t>
  </si>
  <si>
    <t>81+</t>
  </si>
  <si>
    <t>Without scheme</t>
  </si>
  <si>
    <t>Opening_without_45_with_xx_in</t>
  </si>
  <si>
    <t>Opening_without_45_48_with_xx_in</t>
  </si>
  <si>
    <t>Opening_without_48_51_with_xx_in</t>
  </si>
  <si>
    <t>Opening_without_51_54_with_xx_in</t>
  </si>
  <si>
    <t>Opening_without_54_57_with_xx_in</t>
  </si>
  <si>
    <t>Opening_without_57_60_with_xx_in</t>
  </si>
  <si>
    <t>Opening_without_60_63_with_xx_in</t>
  </si>
  <si>
    <t>Opening_without_63_66_with_xx_in</t>
  </si>
  <si>
    <t>Opening_without_66_69_with_xx_in</t>
  </si>
  <si>
    <t>Opening_without_69_72_with_xx_in</t>
  </si>
  <si>
    <t>Opening_without_72_75_with_xx_in</t>
  </si>
  <si>
    <t>Opening_without_75_78_with_xx_in</t>
  </si>
  <si>
    <t>Opening_without_78_81_with_xx_in</t>
  </si>
  <si>
    <t>Opening_without_81_with_xx_in</t>
  </si>
  <si>
    <t>(dB Lnight)</t>
  </si>
  <si>
    <t>Forecast year: no. of households experiencing 'without scheme' and 'with scheme' noise levels</t>
  </si>
  <si>
    <t>Forecast_without_45_with_xx_in</t>
  </si>
  <si>
    <t>Forecast_without_45_48_with_xx_in</t>
  </si>
  <si>
    <t>Forecast_without_48_51_with_xx_in</t>
  </si>
  <si>
    <t>Forecast_without_51_54_with_xx_in</t>
  </si>
  <si>
    <t>Forecast_without_54_57_with_xx_in</t>
  </si>
  <si>
    <t>Forecast_without_57_60_with_xx_in</t>
  </si>
  <si>
    <t>Forecast_without_60_63_with_xx_in</t>
  </si>
  <si>
    <t>Forecast_without_63_66_with_xx_in</t>
  </si>
  <si>
    <t>Forecast_without_66_69_with_xx_in</t>
  </si>
  <si>
    <t>Forecast_without_69_72_with_xx_in</t>
  </si>
  <si>
    <t>Forecast_without_72_75_with_xx_in</t>
  </si>
  <si>
    <t>Forecast_without_75_78_with_xx_in</t>
  </si>
  <si>
    <t>Forecast_without_78_81_with_xx_in</t>
  </si>
  <si>
    <t>Forecast_without_81_with_xx_in</t>
  </si>
  <si>
    <t>Value of a 1dB change in noise, £/HH/annum</t>
  </si>
  <si>
    <t>Road</t>
  </si>
  <si>
    <t>Noise change in the interval, (dB Leq, 16hr)</t>
  </si>
  <si>
    <t>&lt;</t>
  </si>
  <si>
    <t>Sleep disturbance</t>
  </si>
  <si>
    <t>Amenity</t>
  </si>
  <si>
    <t>AMI</t>
  </si>
  <si>
    <t>Stroke</t>
  </si>
  <si>
    <t>Dementia</t>
  </si>
  <si>
    <t>Noise change in the interval, (Lnight)</t>
  </si>
  <si>
    <t>Rail</t>
  </si>
  <si>
    <t>Aviation</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</si>
  <si>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</si>
  <si>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</si>
  <si>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</si>
  <si>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</si>
  <si>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</si>
  <si>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</si>
  <si>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</si>
  <si>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</si>
  <si>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</si>
  <si>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</si>
  <si>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</si>
  <si>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</si>
  <si>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</si>
  <si>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</si>
  <si>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</si>
  <si>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</si>
  <si>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</si>
  <si>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</si>
  <si>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</si>
  <si>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source:</t>
  </si>
  <si>
    <t>GDP deflator</t>
  </si>
  <si>
    <t>GDP_deflator_in</t>
  </si>
  <si>
    <t>Real GDP per capita</t>
  </si>
  <si>
    <t>GDP_capita_in</t>
  </si>
  <si>
    <t>Noise  Workbook - Calculations</t>
  </si>
  <si>
    <t>Value of the change</t>
  </si>
  <si>
    <t>Noise_3dB_bands</t>
  </si>
  <si>
    <t>Sleep_disturbance_values_1dB_table</t>
  </si>
  <si>
    <t>Noise valuations, £/household/annum</t>
  </si>
  <si>
    <t>Rail_mask</t>
  </si>
  <si>
    <t>Mode</t>
  </si>
  <si>
    <t>Scheme_type_in</t>
  </si>
  <si>
    <t>Road_mask</t>
  </si>
  <si>
    <t>Aviation_mask</t>
  </si>
  <si>
    <t>Amenity_values_road_1dB_in</t>
  </si>
  <si>
    <t>AMI_values_road_1dB_in</t>
  </si>
  <si>
    <t>Stroke_values_road_1dB_in</t>
  </si>
  <si>
    <t>Dementia_values_road_1db_in</t>
  </si>
  <si>
    <t>Amenity_values_rail_1dB_in</t>
  </si>
  <si>
    <t>AMI_values_rail_1dB_in</t>
  </si>
  <si>
    <t>Stroke_values_rail_1dB_in</t>
  </si>
  <si>
    <t>Dementia_values_rail_1db_in</t>
  </si>
  <si>
    <t>Amenity_values_aviation_1dB_in</t>
  </si>
  <si>
    <t>AMI_values_aviation_1dB_in</t>
  </si>
  <si>
    <t>Stroke_values_aviation_1dB_in</t>
  </si>
  <si>
    <t>Dementia_values_aviation_1db_in</t>
  </si>
  <si>
    <t>Sleep_disturbance_values_3dB_table</t>
  </si>
  <si>
    <t>Without_45_with_xx_sleep_disturbance_value</t>
  </si>
  <si>
    <t>Without_45_48_with_xx_sleep_disturbance_value</t>
  </si>
  <si>
    <t>Without_48_51_with_xx_sleep_disturbance_value</t>
  </si>
  <si>
    <t>Without_51_54_with_xx_sleep_disturbance_value</t>
  </si>
  <si>
    <t>Without_54_57_with_xx_sleep_disturbance_value</t>
  </si>
  <si>
    <t>Without_57_60_with_xx_sleep_disturbance_value</t>
  </si>
  <si>
    <t>Without_60_63_with_xx_sleep_disturbance_value</t>
  </si>
  <si>
    <t>Without_63_66_with_xx_sleep_disturbance_value</t>
  </si>
  <si>
    <t>Without_66_69_with_xx_sleep_disturbance_value</t>
  </si>
  <si>
    <t>Without_69_72_with_xx_sleep_disturbance_value</t>
  </si>
  <si>
    <t>Without_72_75_with_xx_sleep_disturbance_value</t>
  </si>
  <si>
    <t>Without_75_78_with_xx_sleep_disturbance_value</t>
  </si>
  <si>
    <t>Without_78_81_with_xx_sleep_disturbance_value</t>
  </si>
  <si>
    <t>Without_81_with_xx_sleep_disturbance_value</t>
  </si>
  <si>
    <t>Amenity_values_1dB_table</t>
  </si>
  <si>
    <t>Amenity_values_3db_table</t>
  </si>
  <si>
    <t>Without_45_48_with_xx_amenity_value</t>
  </si>
  <si>
    <t>Without_48_51_with_xx_amenity_value</t>
  </si>
  <si>
    <t>Without_51_54_with_xx_amenity_value</t>
  </si>
  <si>
    <t>Without_54_57_with_xx_amenity_value</t>
  </si>
  <si>
    <t>Without_57_60_with_xx_amenity_value</t>
  </si>
  <si>
    <t>Without_60_63_with_xx_amenity_value</t>
  </si>
  <si>
    <t>Without_63_66_with_xx_amenity_value</t>
  </si>
  <si>
    <t>Without_66_69_with_xx_amenity_value</t>
  </si>
  <si>
    <t>Without_69_72_with_xx_amenity_value</t>
  </si>
  <si>
    <t>Without_72_75_with_xx_amenity_value</t>
  </si>
  <si>
    <t>Without_75_78_with_xx_amenity_value</t>
  </si>
  <si>
    <t>Without_78_81_with_xx_amenity_value</t>
  </si>
  <si>
    <t>Without_81_with_xx_amenity_value</t>
  </si>
  <si>
    <t>Without_45_with_xx_amenity_value</t>
  </si>
  <si>
    <t>AMI_values_3db_table</t>
  </si>
  <si>
    <t>Without_45_with_xx_AMI_value</t>
  </si>
  <si>
    <t>Without_45_48_with_xx_AMI_value</t>
  </si>
  <si>
    <t>Without_48_51_with_xx_AMI_value</t>
  </si>
  <si>
    <t>Without_51_54_with_xx_AMI_value</t>
  </si>
  <si>
    <t>Without_54_57_with_xx_AMI_value</t>
  </si>
  <si>
    <t>Without_57_60_with_xx_AMI_value</t>
  </si>
  <si>
    <t>Without_60_63_with_xx_AMI_value</t>
  </si>
  <si>
    <t>Without_63_66_with_xx_AMI_value</t>
  </si>
  <si>
    <t>Without_66_69_with_xx_AMI_value</t>
  </si>
  <si>
    <t>Without_69_72_with_xx_AMI_value</t>
  </si>
  <si>
    <t>Without_72_75_with_xx_AMI_value</t>
  </si>
  <si>
    <t>Without_75_78_with_xx_AMI_value</t>
  </si>
  <si>
    <t>Without_78_81_with_xx_AMI_value</t>
  </si>
  <si>
    <t>Without_81_with_xx_AMI_value</t>
  </si>
  <si>
    <t>AMI_values_1dB_table</t>
  </si>
  <si>
    <t>Dementia_values_1dB_table</t>
  </si>
  <si>
    <t>Without_45_with_xx_stroke_value</t>
  </si>
  <si>
    <t>Without_45_48_with_xx_stroke_value</t>
  </si>
  <si>
    <t>Without_48_51_with_xx_stroke_value</t>
  </si>
  <si>
    <t>Without_51_54_with_xx_stroke_value</t>
  </si>
  <si>
    <t>Without_54_57_with_xx_stroke_value</t>
  </si>
  <si>
    <t>Without_57_60_with_xx_stroke_value</t>
  </si>
  <si>
    <t>Without_60_63_with_xx_stroke_value</t>
  </si>
  <si>
    <t>Without_63_66_with_xx_stroke_value</t>
  </si>
  <si>
    <t>Without_66_69_with_xx_stroke_value</t>
  </si>
  <si>
    <t>Without_69_72_with_xx_stroke_value</t>
  </si>
  <si>
    <t>Without_72_75_with_xx_stroke_value</t>
  </si>
  <si>
    <t>Without_75_78_with_xx_stroke_value</t>
  </si>
  <si>
    <t>Without_78_81_with_xx_stroke_value</t>
  </si>
  <si>
    <t>Without_81_with_xx_stroke_value</t>
  </si>
  <si>
    <t>Opening_without_45_with_xx_night_in</t>
  </si>
  <si>
    <t>Opening_without_45_48_with_xx_night_in</t>
  </si>
  <si>
    <t>Opening_without_48_51_with_xx_night_in</t>
  </si>
  <si>
    <t>Opening_without_51_54_with_xx_night_in</t>
  </si>
  <si>
    <t>Opening_without_54_57_with_xx_night_in</t>
  </si>
  <si>
    <t>Opening_without_57_60_with_xx_night_in</t>
  </si>
  <si>
    <t>Opening_without_60_63_with_xx_night_in</t>
  </si>
  <si>
    <t>Opening_without_63_66_with_xx_night_in</t>
  </si>
  <si>
    <t>Opening_without_66_69_with_xx_night_in</t>
  </si>
  <si>
    <t>Opening_without_69_72_with_xx_night_in</t>
  </si>
  <si>
    <t>Opening_without_72_75_with_xx_night_in</t>
  </si>
  <si>
    <t>Opening_without_75_78_with_xx_night_in</t>
  </si>
  <si>
    <t>Opening_without_78_81_with_xx_night_in</t>
  </si>
  <si>
    <t>Opening_without_81_with_xx_night_in</t>
  </si>
  <si>
    <t>Forecast_without_45_with_xx_night_in</t>
  </si>
  <si>
    <t>Forecast_without_45_48_with_xx_night_in</t>
  </si>
  <si>
    <t>Forecast_without_48_51_with_xx_night_in</t>
  </si>
  <si>
    <t>Forecast_without_51_54_with_xx_night_in</t>
  </si>
  <si>
    <t>Forecast_without_54_57_with_xx_night_in</t>
  </si>
  <si>
    <t>Forecast_without_57_60_with_xx_night_in</t>
  </si>
  <si>
    <t>Forecast_without_60_63_with_xx_night_in</t>
  </si>
  <si>
    <t>Forecast_without_63_66_with_xx_night_in</t>
  </si>
  <si>
    <t>Forecast_without_66_69_with_xx_night_in</t>
  </si>
  <si>
    <t>Forecast_without_69_72_with_xx_night_in</t>
  </si>
  <si>
    <t>Forecast_without_72_75_with_xx_night_in</t>
  </si>
  <si>
    <t>Forecast_without_75_78_with_xx_night_in</t>
  </si>
  <si>
    <t>Forecast_without_78_81_with_xx_night_in</t>
  </si>
  <si>
    <t>Forecast_without_81_with_xx_night_in</t>
  </si>
  <si>
    <t>Noise cost</t>
  </si>
  <si>
    <t>Opening_without_45_with_xx</t>
  </si>
  <si>
    <t>Opening_without_45_48_with_xx</t>
  </si>
  <si>
    <t>Opening_without_48_51_with_xx</t>
  </si>
  <si>
    <t>Opening_without_51_54_with_xx</t>
  </si>
  <si>
    <t>Opening_without_54_57_with_xx</t>
  </si>
  <si>
    <t>Opening_without_57_60_with_xx</t>
  </si>
  <si>
    <t>Opening_without_60_63_with_xx</t>
  </si>
  <si>
    <t>Opening_without_63_66_with_xx</t>
  </si>
  <si>
    <t>Opening_without_66_69_with_xx</t>
  </si>
  <si>
    <t>Opening_without_69_72_with_xx</t>
  </si>
  <si>
    <t>Opening_without_72_75_with_xx</t>
  </si>
  <si>
    <t>Opening_without_75_78_with_xx</t>
  </si>
  <si>
    <t>Opening_without_78_81_with_xx</t>
  </si>
  <si>
    <t>Opening_without_81_with_xx</t>
  </si>
  <si>
    <t>Opening_without_45_with_xx_sleep_disturbance_cost</t>
  </si>
  <si>
    <t>Opening_without_45_48_with_xx_sleep_disturbance_cost</t>
  </si>
  <si>
    <t>Opening_without_48_51_with_xx_sleep_disturbance_cost</t>
  </si>
  <si>
    <t>Opening_without_51_54_with_xx_sleep_disturbance_cost</t>
  </si>
  <si>
    <t>Opening_without_54_57_with_xx_sleep_disturbance_cost</t>
  </si>
  <si>
    <t>Opening_without_57_60_with_xx_sleep_disturbance_cost</t>
  </si>
  <si>
    <t>Opening_without_60_63_with_xx_sleep_disturbance_cost</t>
  </si>
  <si>
    <t>Opening_without_63_66_with_xx_sleep_disturbance_cost</t>
  </si>
  <si>
    <t>Opening_without_66_69_with_xx_sleep_disturbance_cost</t>
  </si>
  <si>
    <t>Opening_without_69_72_with_xx_sleep_disturbance_cost</t>
  </si>
  <si>
    <t>Opening_without_72_75_with_xx_sleep_disturbance_cost</t>
  </si>
  <si>
    <t>Opening_without_75_78_with_xx_sleep_disturbance_cost</t>
  </si>
  <si>
    <t>Opening_without_78_81_with_xx_sleep_disturbance_cost</t>
  </si>
  <si>
    <t>Opening_without_81_with_xx_sleep_disturbance_cost</t>
  </si>
  <si>
    <t>Forecast_without_45_with_xx_sleep_disturbance_cost</t>
  </si>
  <si>
    <t>Forecast_without_45_48_with_xx_sleep_disturbance_cost</t>
  </si>
  <si>
    <t>Forecast_without_48_51_with_xx_sleep_disturbance_cost</t>
  </si>
  <si>
    <t>Forecast_without_51_54_with_xx_sleep_disturbance_cost</t>
  </si>
  <si>
    <t>Forecast_without_54_57_with_xx_sleep_disturbance_cost</t>
  </si>
  <si>
    <t>Forecast_without_57_60_with_xx_sleep_disturbance_cost</t>
  </si>
  <si>
    <t>Forecast_without_60_63_with_xx_sleep_disturbance_cost</t>
  </si>
  <si>
    <t>Forecast_without_63_66_with_xx_sleep_disturbance_cost</t>
  </si>
  <si>
    <t>Forecast_without_66_69_with_xx_sleep_disturbance_cost</t>
  </si>
  <si>
    <t>Forecast_without_69_72_with_xx_sleep_disturbance_cost</t>
  </si>
  <si>
    <t>Forecast_without_72_75_with_xx_sleep_disturbance_cost</t>
  </si>
  <si>
    <t>Forecast_without_75_78_with_xx_sleep_disturbance_cost</t>
  </si>
  <si>
    <t>Forecast_without_78_81_with_xx_sleep_disturbance_cost</t>
  </si>
  <si>
    <t>Forecast_without_81_with_xx_sleep_disturbance_cost</t>
  </si>
  <si>
    <t>Opening year sleep disturbance cost</t>
  </si>
  <si>
    <t>Opening_year_sleep_disturbance_cost</t>
  </si>
  <si>
    <t>Forecast year sleep disturbance cost</t>
  </si>
  <si>
    <t>Forecast_year_sleep_disturbance_cost</t>
  </si>
  <si>
    <t>Difference in sleep disturbance cost</t>
  </si>
  <si>
    <t>Difference_sleep_disturbance_cost</t>
  </si>
  <si>
    <t>Opening year: sleep disturbance</t>
  </si>
  <si>
    <t>Forecast year: sleep disturbance</t>
  </si>
  <si>
    <t>Opening_without_45_with_xx_amenity_cost</t>
  </si>
  <si>
    <t>Opening_without_45_48_with_xx_amenity_cost</t>
  </si>
  <si>
    <t>Opening_without_48_51_with_xx_amenity_cost</t>
  </si>
  <si>
    <t>Opening_without_51_54_with_xx_amenity_cost</t>
  </si>
  <si>
    <t>Opening_without_54_57_with_xx_amenity_cost</t>
  </si>
  <si>
    <t>Opening_without_57_60_with_xx_amenity_cost</t>
  </si>
  <si>
    <t>Opening_without_60_63_with_xx_amenity_cost</t>
  </si>
  <si>
    <t>Opening_without_63_66_with_xx_amenity_cost</t>
  </si>
  <si>
    <t>Opening_without_66_69_with_xx_amenity_cost</t>
  </si>
  <si>
    <t>Opening_without_69_72_with_xx_amenity_cost</t>
  </si>
  <si>
    <t>Opening_without_72_75_with_xx_amenity_cost</t>
  </si>
  <si>
    <t>Opening_without_75_78_with_xx_amenity_cost</t>
  </si>
  <si>
    <t>Opening_without_78_81_with_xx_amenity_cost</t>
  </si>
  <si>
    <t>Opening_without_81_with_xx_amenity_cost</t>
  </si>
  <si>
    <t>Opening_year_amenity_cost</t>
  </si>
  <si>
    <t>Forecast_without_45_with_xx_amenity_cost</t>
  </si>
  <si>
    <t>Forecast_without_45_48_with_xx_amenity_cost</t>
  </si>
  <si>
    <t>Forecast_without_48_51_with_xx_amenity_cost</t>
  </si>
  <si>
    <t>Forecast_without_51_54_with_xx_amenity_cost</t>
  </si>
  <si>
    <t>Forecast_without_54_57_with_xx_amenity_cost</t>
  </si>
  <si>
    <t>Forecast_without_57_60_with_xx_amenity_cost</t>
  </si>
  <si>
    <t>Forecast_without_60_63_with_xx_amenity_cost</t>
  </si>
  <si>
    <t>Forecast_without_63_66_with_xx_amenity_cost</t>
  </si>
  <si>
    <t>Forecast_without_66_69_with_xx_amenity_cost</t>
  </si>
  <si>
    <t>Forecast_without_69_72_with_xx_amenity_cost</t>
  </si>
  <si>
    <t>Forecast_without_72_75_with_xx_amenity_cost</t>
  </si>
  <si>
    <t>Forecast_without_75_78_with_xx_amenity_cost</t>
  </si>
  <si>
    <t>Forecast_without_78_81_with_xx_amenity_cost</t>
  </si>
  <si>
    <t>Forecast_without_81_with_xx_amenity_cost</t>
  </si>
  <si>
    <t>Forecast_year_amenity_cost</t>
  </si>
  <si>
    <t>Difference_amenity_cost</t>
  </si>
  <si>
    <t>Opening year: amenity</t>
  </si>
  <si>
    <t>Opening year amenity cost</t>
  </si>
  <si>
    <t>Forecast year: amenity</t>
  </si>
  <si>
    <t>Forecast year amenity cost</t>
  </si>
  <si>
    <t>Difference in amenity cost</t>
  </si>
  <si>
    <t>Opening year: AMI</t>
  </si>
  <si>
    <t>Opening_without_45_with_xx_AMI_cost</t>
  </si>
  <si>
    <t>Opening_without_45_48_with_xx_AMI_cost</t>
  </si>
  <si>
    <t>Opening_without_48_51_with_xx_AMI_cost</t>
  </si>
  <si>
    <t>Opening_without_51_54_with_xx_AMI_cost</t>
  </si>
  <si>
    <t>Opening_without_54_57_with_xx_AMI_cost</t>
  </si>
  <si>
    <t>Opening_without_57_60_with_xx_AMI_cost</t>
  </si>
  <si>
    <t>Opening_without_60_63_with_xx_AMI_cost</t>
  </si>
  <si>
    <t>Opening_without_63_66_with_xx_AMI_cost</t>
  </si>
  <si>
    <t>Opening_without_66_69_with_xx_AMI_cost</t>
  </si>
  <si>
    <t>Opening_without_69_72_with_xx_AMI_cost</t>
  </si>
  <si>
    <t>Opening_without_72_75_with_xx_AMI_cost</t>
  </si>
  <si>
    <t>Opening_without_75_78_with_xx_AMI_cost</t>
  </si>
  <si>
    <t>Opening_without_78_81_with_xx_AMI_cost</t>
  </si>
  <si>
    <t>Opening_without_81_with_xx_AMI_cost</t>
  </si>
  <si>
    <t>Opening year AMI cost</t>
  </si>
  <si>
    <t>Opening_year_AMI_cost</t>
  </si>
  <si>
    <t>Forecast year: AMI</t>
  </si>
  <si>
    <t>Forecast_without_45_with_xx_AMI_cost</t>
  </si>
  <si>
    <t>Forecast_without_45_48_with_xx_AMI_cost</t>
  </si>
  <si>
    <t>Forecast_without_48_51_with_xx_AMI_cost</t>
  </si>
  <si>
    <t>Forecast_without_51_54_with_xx_AMI_cost</t>
  </si>
  <si>
    <t>Forecast_without_54_57_with_xx_AMI_cost</t>
  </si>
  <si>
    <t>Forecast_without_57_60_with_xx_AMI_cost</t>
  </si>
  <si>
    <t>Forecast_without_60_63_with_xx_AMI_cost</t>
  </si>
  <si>
    <t>Forecast_without_63_66_with_xx_AMI_cost</t>
  </si>
  <si>
    <t>Forecast_without_66_69_with_xx_AMI_cost</t>
  </si>
  <si>
    <t>Forecast_without_69_72_with_xx_AMI_cost</t>
  </si>
  <si>
    <t>Forecast_without_72_75_with_xx_AMI_cost</t>
  </si>
  <si>
    <t>Forecast_without_75_78_with_xx_AMI_cost</t>
  </si>
  <si>
    <t>Forecast_without_78_81_with_xx_AMI_cost</t>
  </si>
  <si>
    <t>Forecast_without_81_with_xx_AMI_cost</t>
  </si>
  <si>
    <t>Forecast year AMI cost</t>
  </si>
  <si>
    <t>Forecast_year_AMI_cost</t>
  </si>
  <si>
    <t>Difference in AMI cost</t>
  </si>
  <si>
    <t>Difference_AMI_cost</t>
  </si>
  <si>
    <t>Opening year: stroke</t>
  </si>
  <si>
    <t>Opening_without_45_with_xx_stroke_cost</t>
  </si>
  <si>
    <t>Opening_without_45_48_with_xx_stroke_cost</t>
  </si>
  <si>
    <t>Opening_without_48_51_with_xx_stroke_cost</t>
  </si>
  <si>
    <t>Opening_without_51_54_with_xx_stroke_cost</t>
  </si>
  <si>
    <t>Opening_without_54_57_with_xx_stroke_cost</t>
  </si>
  <si>
    <t>Opening_without_57_60_with_xx_stroke_cost</t>
  </si>
  <si>
    <t>Opening_without_60_63_with_xx_stroke_cost</t>
  </si>
  <si>
    <t>Opening_without_63_66_with_xx_stroke_cost</t>
  </si>
  <si>
    <t>Opening_without_66_69_with_xx_stroke_cost</t>
  </si>
  <si>
    <t>Opening_without_69_72_with_xx_stroke_cost</t>
  </si>
  <si>
    <t>Opening_without_72_75_with_xx_stroke_cost</t>
  </si>
  <si>
    <t>Opening_without_75_78_with_xx_stroke_cost</t>
  </si>
  <si>
    <t>Opening_without_78_81_with_xx_stroke_cost</t>
  </si>
  <si>
    <t>Opening_without_81_with_xx_stroke_cost</t>
  </si>
  <si>
    <t>Opening year stroke cost</t>
  </si>
  <si>
    <t>Opening_year_stroke_cost</t>
  </si>
  <si>
    <t>Forecast year: stroke</t>
  </si>
  <si>
    <t>Forecast_without_45_with_xx_stroke_cost</t>
  </si>
  <si>
    <t>Forecast_without_45_48_with_xx_stroke_cost</t>
  </si>
  <si>
    <t>Forecast_without_48_51_with_xx_stroke_cost</t>
  </si>
  <si>
    <t>Forecast_without_51_54_with_xx_stroke_cost</t>
  </si>
  <si>
    <t>Forecast_without_54_57_with_xx_stroke_cost</t>
  </si>
  <si>
    <t>Forecast_without_57_60_with_xx_stroke_cost</t>
  </si>
  <si>
    <t>Forecast_without_60_63_with_xx_stroke_cost</t>
  </si>
  <si>
    <t>Forecast_without_63_66_with_xx_stroke_cost</t>
  </si>
  <si>
    <t>Forecast_without_66_69_with_xx_stroke_cost</t>
  </si>
  <si>
    <t>Forecast_without_69_72_with_xx_stroke_cost</t>
  </si>
  <si>
    <t>Forecast_without_72_75_with_xx_stroke_cost</t>
  </si>
  <si>
    <t>Forecast_without_75_78_with_xx_stroke_cost</t>
  </si>
  <si>
    <t>Forecast_without_78_81_with_xx_stroke_cost</t>
  </si>
  <si>
    <t>Forecast_without_81_with_xx_stroke_cost</t>
  </si>
  <si>
    <t>Forecast year stroke cost</t>
  </si>
  <si>
    <t>Forecast_year_stroke_cost</t>
  </si>
  <si>
    <t>Difference in stroke cost</t>
  </si>
  <si>
    <t>Difference_stroke_cost</t>
  </si>
  <si>
    <t>Opening year: dementia</t>
  </si>
  <si>
    <t>Opening_without_45_with_xx_dementia_cost</t>
  </si>
  <si>
    <t>Opening_without_45_48_with_xx_dementia_cost</t>
  </si>
  <si>
    <t>Opening_without_48_51_with_xx_dementia_cost</t>
  </si>
  <si>
    <t>Opening_without_51_54_with_xx_dementia_cost</t>
  </si>
  <si>
    <t>Opening_without_54_57_with_xx_dementia_cost</t>
  </si>
  <si>
    <t>Opening_without_57_60_with_xx_dementia_cost</t>
  </si>
  <si>
    <t>Opening_without_60_63_with_xx_dementia_cost</t>
  </si>
  <si>
    <t>Opening_without_63_66_with_xx_dementia_cost</t>
  </si>
  <si>
    <t>Opening_without_66_69_with_xx_dementia_cost</t>
  </si>
  <si>
    <t>Opening_without_69_72_with_xx_dementia_cost</t>
  </si>
  <si>
    <t>Opening_without_72_75_with_xx_dementia_cost</t>
  </si>
  <si>
    <t>Opening_without_75_78_with_xx_dementia_cost</t>
  </si>
  <si>
    <t>Opening_without_78_81_with_xx_dementia_cost</t>
  </si>
  <si>
    <t>Opening_without_81_with_xx_dementia_cost</t>
  </si>
  <si>
    <t>Opening year dementia cost</t>
  </si>
  <si>
    <t>Opening_year_dementia_cost</t>
  </si>
  <si>
    <t>Forecast year: dementia</t>
  </si>
  <si>
    <t>Forecast_without_45_with_xx_dementia_cost</t>
  </si>
  <si>
    <t>Forecast_without_45_48_with_xx_dementia_cost</t>
  </si>
  <si>
    <t>Forecast_without_48_51_with_xx_dementia_cost</t>
  </si>
  <si>
    <t>Forecast_without_51_54_with_xx_dementia_cost</t>
  </si>
  <si>
    <t>Forecast_without_54_57_with_xx_dementia_cost</t>
  </si>
  <si>
    <t>Forecast_without_57_60_with_xx_dementia_cost</t>
  </si>
  <si>
    <t>Forecast_without_60_63_with_xx_dementia_cost</t>
  </si>
  <si>
    <t>Forecast_without_63_66_with_xx_dementia_cost</t>
  </si>
  <si>
    <t>Forecast_without_66_69_with_xx_dementia_cost</t>
  </si>
  <si>
    <t>Forecast_without_69_72_with_xx_dementia_cost</t>
  </si>
  <si>
    <t>Forecast_without_72_75_with_xx_dementia_cost</t>
  </si>
  <si>
    <t>Forecast_without_75_78_with_xx_dementia_cost</t>
  </si>
  <si>
    <t>Forecast_without_78_81_with_xx_dementia_cost</t>
  </si>
  <si>
    <t>Forecast_without_81_with_xx_dementia_cost</t>
  </si>
  <si>
    <t>Forecast year dementia cost</t>
  </si>
  <si>
    <t>Forecast_year_dementia_cost</t>
  </si>
  <si>
    <t>Difference in dementia cost</t>
  </si>
  <si>
    <t>Difference_dementia_cost</t>
  </si>
  <si>
    <t>Appraisal period</t>
  </si>
  <si>
    <t>year</t>
  </si>
  <si>
    <t>Opening_year</t>
  </si>
  <si>
    <t>Opening_year_mask</t>
  </si>
  <si>
    <t>Forecast_year</t>
  </si>
  <si>
    <t>Forecast_year_mask</t>
  </si>
  <si>
    <t>Difference (years)</t>
  </si>
  <si>
    <t>Forecast_and_opening_year_difference</t>
  </si>
  <si>
    <t>Appraisal period length (years)</t>
  </si>
  <si>
    <t>Appraisal_period_length</t>
  </si>
  <si>
    <t>Interpolation</t>
  </si>
  <si>
    <t>Interpolation_mask</t>
  </si>
  <si>
    <t>Extrapolation</t>
  </si>
  <si>
    <t>Extrapolation_mask</t>
  </si>
  <si>
    <t>Appraisal_period</t>
  </si>
  <si>
    <t>Check</t>
  </si>
  <si>
    <t>Total</t>
  </si>
  <si>
    <t>Income and price adjustment</t>
  </si>
  <si>
    <t>GDP deflator index</t>
  </si>
  <si>
    <t>GDP_deflator</t>
  </si>
  <si>
    <t>Noise values price base</t>
  </si>
  <si>
    <t>GDP deflator index - for outputs</t>
  </si>
  <si>
    <t>GDP_deflator_outputs</t>
  </si>
  <si>
    <t>Price base adjustment</t>
  </si>
  <si>
    <t>Price_adjustment</t>
  </si>
  <si>
    <t>Valuing changes in noise (£)</t>
  </si>
  <si>
    <t>Annual sleep disturbance cost</t>
  </si>
  <si>
    <t>Opening_year_sleep_disturbance_cost_mask</t>
  </si>
  <si>
    <t>Total_annual_sleep_disturbance_cost</t>
  </si>
  <si>
    <t>Forecast_year_sleep_disturbance_cost_mask</t>
  </si>
  <si>
    <t>Interpolation_sleep_disturbance_cost_mask</t>
  </si>
  <si>
    <t>Extrapolation_sleep_disturbance_cost_mask</t>
  </si>
  <si>
    <t>Annual amenity cost</t>
  </si>
  <si>
    <t>Opening_year_amenity_cost_mask</t>
  </si>
  <si>
    <t>Forecast_year_amenity_cost_mask</t>
  </si>
  <si>
    <t>Interpolation_amenity_cost_mask</t>
  </si>
  <si>
    <t>Extrapolation_amenity_cost_mask</t>
  </si>
  <si>
    <t>Total_annual_amenity_cost</t>
  </si>
  <si>
    <t>Annual AMI cost</t>
  </si>
  <si>
    <t>Opening_year_AMI_cost_mask</t>
  </si>
  <si>
    <t>Forecast_year_AMI_cost_mask</t>
  </si>
  <si>
    <t>Interpolation_AMI_cost_mask</t>
  </si>
  <si>
    <t>Extrapolation_AMI_cost_mask</t>
  </si>
  <si>
    <t>Total_annual_AMI_cost</t>
  </si>
  <si>
    <t>Annual stroke cost</t>
  </si>
  <si>
    <t>Opening_year_stroke_cost_mask</t>
  </si>
  <si>
    <t>Forecast_year_stroke_cost_mask</t>
  </si>
  <si>
    <t>Interpolation_stroke_cost_mask</t>
  </si>
  <si>
    <t>Extrapolation_stroke_cost_mask</t>
  </si>
  <si>
    <t>Total_annual_stroke_cost</t>
  </si>
  <si>
    <t>Annual dementia cost</t>
  </si>
  <si>
    <t>Opening_year_dementia_cost_mask</t>
  </si>
  <si>
    <t>Forecast_year_dementia_cost_mask</t>
  </si>
  <si>
    <t>Interpolation_dementia_cost_mask</t>
  </si>
  <si>
    <t>Extrapolation_dementia_cost_mask</t>
  </si>
  <si>
    <t>Total_annual_dementia_cost</t>
  </si>
  <si>
    <t>GDP_capita</t>
  </si>
  <si>
    <t>Income base year</t>
  </si>
  <si>
    <t>Income_base_values_in</t>
  </si>
  <si>
    <t>Price base year</t>
  </si>
  <si>
    <t>Price_base_values_in</t>
  </si>
  <si>
    <t>GDP deflator index - base</t>
  </si>
  <si>
    <t>GDP_deflator_base</t>
  </si>
  <si>
    <t>Noise values income base</t>
  </si>
  <si>
    <t>Outputs price base</t>
  </si>
  <si>
    <t>Outputs_price_base</t>
  </si>
  <si>
    <t>GDP per capita index - base</t>
  </si>
  <si>
    <t>GDP_capita_base</t>
  </si>
  <si>
    <t>Noise_values_price_base</t>
  </si>
  <si>
    <t>Noise_values_income_base</t>
  </si>
  <si>
    <t>Annual_sleep_disturbance_valuation</t>
  </si>
  <si>
    <t>Annual_dementia_valuation</t>
  </si>
  <si>
    <t>Annual_stroke_valuation</t>
  </si>
  <si>
    <t>Annual_AMI_valuation</t>
  </si>
  <si>
    <t>Annual_amenity_valuation</t>
  </si>
  <si>
    <t>Discounting and present values</t>
  </si>
  <si>
    <t>Discount period</t>
  </si>
  <si>
    <t>Current_year</t>
  </si>
  <si>
    <t>PV_base_year</t>
  </si>
  <si>
    <t>Discount_period_1</t>
  </si>
  <si>
    <t>Discount_period_2</t>
  </si>
  <si>
    <t>Discount_period_3</t>
  </si>
  <si>
    <t>Masks</t>
  </si>
  <si>
    <t>Discount period 1</t>
  </si>
  <si>
    <t>Discount_period_1_mask</t>
  </si>
  <si>
    <t>Discount period 2</t>
  </si>
  <si>
    <t>Discount_period_2_mask</t>
  </si>
  <si>
    <t>Discount period 3</t>
  </si>
  <si>
    <t>Discount_period_3_mask</t>
  </si>
  <si>
    <t>Discount rates and factors</t>
  </si>
  <si>
    <t>Discount_rate_1</t>
  </si>
  <si>
    <t>Discount_rate_2</t>
  </si>
  <si>
    <t>Discount_rate_3</t>
  </si>
  <si>
    <t>Discount rate profile</t>
  </si>
  <si>
    <t>Discount_rate_profile</t>
  </si>
  <si>
    <t>Discount factor</t>
  </si>
  <si>
    <t>Discount_factor</t>
  </si>
  <si>
    <t>Discounted noise benefits</t>
  </si>
  <si>
    <t>(positive values represent a benefit -  a reduction in noise)</t>
  </si>
  <si>
    <t>Discounted_annual_sleep_disturbance_valuation</t>
  </si>
  <si>
    <t>Discounted_annual_amenity_valuation</t>
  </si>
  <si>
    <t>Discounted_annual_AMI_valuation</t>
  </si>
  <si>
    <t>Discounted_annual_stroke_valuation</t>
  </si>
  <si>
    <t>Discounted_annual_dementia_valuation</t>
  </si>
  <si>
    <t>Total present value of change in noise: £NPV</t>
  </si>
  <si>
    <t>Total present value of noise impact pathway</t>
  </si>
  <si>
    <t>Noise NPV</t>
  </si>
  <si>
    <t>Forecast_without_45_with_xx</t>
  </si>
  <si>
    <t>Forecast_without_45_48_with_xx</t>
  </si>
  <si>
    <t>Forecast_without_48_51_with_xx</t>
  </si>
  <si>
    <t>Forecast_without_51_54_with_xx</t>
  </si>
  <si>
    <t>Forecast_without_54_57_with_xx</t>
  </si>
  <si>
    <t>Forecast_without_57_60_with_xx</t>
  </si>
  <si>
    <t>Forecast_without_60_63_with_xx</t>
  </si>
  <si>
    <t>Forecast_without_63_66_with_xx</t>
  </si>
  <si>
    <t>Forecast_without_66_69_with_xx</t>
  </si>
  <si>
    <t>Forecast_without_69_72_with_xx</t>
  </si>
  <si>
    <t>Forecast_without_72_75_with_xx</t>
  </si>
  <si>
    <t>Forecast_without_75_78_with_xx</t>
  </si>
  <si>
    <t>Forecast_without_78_81_with_xx</t>
  </si>
  <si>
    <t>Forecast_without_81_with_xx</t>
  </si>
  <si>
    <t>Opening_without_45_with_xx_night</t>
  </si>
  <si>
    <t>Opening_without_45_48_with_xx_night</t>
  </si>
  <si>
    <t>Opening_without_48_51_with_xx_night</t>
  </si>
  <si>
    <t>Opening_without_51_54_with_xx_night</t>
  </si>
  <si>
    <t>Opening_without_54_57_with_xx_night</t>
  </si>
  <si>
    <t>Opening_without_57_60_with_xx_night</t>
  </si>
  <si>
    <t>Opening_without_60_63_with_xx_night</t>
  </si>
  <si>
    <t>Opening_without_63_66_with_xx_night</t>
  </si>
  <si>
    <t>Opening_without_66_69_with_xx_night</t>
  </si>
  <si>
    <t>Proposal Name:</t>
  </si>
  <si>
    <t>Present Value Base Year</t>
  </si>
  <si>
    <t>Current Year</t>
  </si>
  <si>
    <t>Proposal Opening year:</t>
  </si>
  <si>
    <t xml:space="preserve"> </t>
  </si>
  <si>
    <t>Net present value of change in noise (£):</t>
  </si>
  <si>
    <r>
      <t xml:space="preserve">*positive value reflects a </t>
    </r>
    <r>
      <rPr>
        <b/>
        <sz val="7"/>
        <rFont val="Arial"/>
        <family val="2"/>
      </rPr>
      <t>net benefit</t>
    </r>
    <r>
      <rPr>
        <sz val="7"/>
        <rFont val="Arial"/>
        <family val="2"/>
      </rPr>
      <t xml:space="preserve"> (i.e. a reduction in noise)</t>
    </r>
  </si>
  <si>
    <t>Qualitative Comments:</t>
  </si>
  <si>
    <t>Data Sources:</t>
  </si>
  <si>
    <t>Total_noise_net_present_value</t>
  </si>
  <si>
    <t>Project (Road, Rail or Aviation):</t>
  </si>
  <si>
    <t>Net present value of impact on sleep disturbance (£):</t>
  </si>
  <si>
    <t>Net present value of impact on amenity (£):</t>
  </si>
  <si>
    <t>Net present value of impact on AMI (£):</t>
  </si>
  <si>
    <t>Net present value of impact on stroke (£):</t>
  </si>
  <si>
    <t>Net present value of impact on dementia (£):</t>
  </si>
  <si>
    <t>Opening_without_69_72_with_xx_night</t>
  </si>
  <si>
    <t>Opening_without_72_75_with_xx_night</t>
  </si>
  <si>
    <t>Opening_without_75_78_with_xx_night</t>
  </si>
  <si>
    <t>Opening_without_78_81_with_xx_night</t>
  </si>
  <si>
    <t>Opening_without_81_with_xx_night</t>
  </si>
  <si>
    <t>Forecast_without_45_with_xx_night</t>
  </si>
  <si>
    <t>Forecast_without_45_48_with_xx_night</t>
  </si>
  <si>
    <t>Forecast_without_48_51_with_xx_night</t>
  </si>
  <si>
    <t>Forecast_without_51_54_with_xx_night</t>
  </si>
  <si>
    <t>Forecast_without_54_57_with_xx_night</t>
  </si>
  <si>
    <t>Forecast_without_57_60_with_xx_night</t>
  </si>
  <si>
    <t>Forecast_without_60_63_with_xx_night</t>
  </si>
  <si>
    <t>Forecast_without_63_66_with_xx_night</t>
  </si>
  <si>
    <t>Forecast_without_66_69_with_xx_night</t>
  </si>
  <si>
    <t>Forecast_without_69_72_with_xx_night</t>
  </si>
  <si>
    <t>Forecast_without_72_75_with_xx_night</t>
  </si>
  <si>
    <t>Forecast_without_75_78_with_xx_night</t>
  </si>
  <si>
    <t>Forecast_without_78_81_with_xx_night</t>
  </si>
  <si>
    <t>Forecast_without_81_with_xx_night</t>
  </si>
  <si>
    <t>Night-noise modelling</t>
  </si>
  <si>
    <t>Night_noise_modelling</t>
  </si>
  <si>
    <t>Night_noise_modelling_in</t>
  </si>
  <si>
    <t>Leq night modelled</t>
  </si>
  <si>
    <t>Leq night not modelled</t>
  </si>
  <si>
    <t>Sleep_disturbance_values_road_1dB_night_in</t>
  </si>
  <si>
    <t>Sleep_disturbance_values_rail_1dB_night_in</t>
  </si>
  <si>
    <t>Sleep_disturbance_values_aviation_1dB_night_in</t>
  </si>
  <si>
    <t>yes</t>
  </si>
  <si>
    <t>road</t>
  </si>
  <si>
    <t xml:space="preserve">Night noise impact </t>
  </si>
  <si>
    <t>Night_noise_impact</t>
  </si>
  <si>
    <t>Night noise impact</t>
  </si>
  <si>
    <t>Night_noise_impact_in</t>
  </si>
  <si>
    <t>Impact on night noise</t>
  </si>
  <si>
    <t>No impact on night noise</t>
  </si>
  <si>
    <t>Night_impact_mask</t>
  </si>
  <si>
    <t>Non_night_impact_mask</t>
  </si>
  <si>
    <t>Night_modelling_mask</t>
  </si>
  <si>
    <t>Non_night_modelling_mask</t>
  </si>
  <si>
    <t>Total_discounted_sleep_disturbance_valuation</t>
  </si>
  <si>
    <t>Total_discounted_amenity_valuation</t>
  </si>
  <si>
    <t>Total_discounted_AMI_valuation</t>
  </si>
  <si>
    <t>Total_discounted_stroke_valuation</t>
  </si>
  <si>
    <t>Total_discounted_dementia_valuation</t>
  </si>
  <si>
    <t>Road value</t>
  </si>
  <si>
    <t>Sleep_disturbance_values_road_1dB_night</t>
  </si>
  <si>
    <t>Rail value</t>
  </si>
  <si>
    <t>Sleep_disturbance_values_rail_1dB_night</t>
  </si>
  <si>
    <t>Aviation value</t>
  </si>
  <si>
    <t>Sleep_disturbance_values_aviation_1dB_night</t>
  </si>
  <si>
    <t>Amenity_values_road_1dB</t>
  </si>
  <si>
    <t>Amenity_values_rail_1dB</t>
  </si>
  <si>
    <t>Amenity_values_aviation_1dB</t>
  </si>
  <si>
    <t>AMI_values_road_1dB</t>
  </si>
  <si>
    <t>AMI_values_rail_1dB</t>
  </si>
  <si>
    <t>AMI_values_aviation_1dB</t>
  </si>
  <si>
    <t>Stroke_values_road_1dB</t>
  </si>
  <si>
    <t>Stroke_values_rail_1dB</t>
  </si>
  <si>
    <t>Stroke_values_aviation_1dB</t>
  </si>
  <si>
    <t>Stroke_values_1dB_table</t>
  </si>
  <si>
    <t>Dementia_values_road_1dB</t>
  </si>
  <si>
    <t>Dementia_values_rail_1dB</t>
  </si>
  <si>
    <t>Dementia_values_aviation_1dB</t>
  </si>
  <si>
    <t>Sleep_disturbance_values_road_1dB_16hr_in</t>
  </si>
  <si>
    <t>Sleep_disturbance_values_road_1dB_16hr</t>
  </si>
  <si>
    <t>Household size - user input</t>
  </si>
  <si>
    <t>Household_size_user_input_in</t>
  </si>
  <si>
    <t>Valuing changes in noise - household size adjusted (£):</t>
  </si>
  <si>
    <t>Household_size_user_input</t>
  </si>
  <si>
    <t>Household size multiplier</t>
  </si>
  <si>
    <t>Household_size_multiplier</t>
  </si>
  <si>
    <t>Annual_sleep_disturbance_valuation_hh_adj</t>
  </si>
  <si>
    <t>Annual_amenity_valuation_hh_adj</t>
  </si>
  <si>
    <t>Annual_AMI_valuation_hh_adj</t>
  </si>
  <si>
    <t>Annual_stroke_valuation_hh_adj</t>
  </si>
  <si>
    <t>Annual_dementia_valuation_hh_adj</t>
  </si>
  <si>
    <t>Scheme_name_in</t>
  </si>
  <si>
    <t>Assumed average household size</t>
  </si>
  <si>
    <t>Default_HH_size_in</t>
  </si>
  <si>
    <t>Default_HH_size</t>
  </si>
  <si>
    <t>Noise Workbook - Worksheet 1</t>
  </si>
  <si>
    <t>Night noise (dB Lnight) modelling</t>
  </si>
  <si>
    <t>TAG data book table A1.3 (v1.4 November 2015 / Forthcoming Change)</t>
  </si>
  <si>
    <t>Noise Assessment Workbook</t>
  </si>
  <si>
    <t>TAG Reference</t>
  </si>
  <si>
    <t>Notes</t>
  </si>
  <si>
    <t>Version Control</t>
  </si>
  <si>
    <t>Date</t>
  </si>
  <si>
    <t>Description</t>
  </si>
  <si>
    <t>GDP/HH growth updated</t>
  </si>
  <si>
    <t>GDP/HH growth updated following 2014 Budget</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</si>
  <si>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</si>
  <si>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</si>
  <si>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</si>
  <si>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</si>
  <si>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</si>
  <si>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</si>
  <si>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</si>
  <si>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</si>
  <si>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</si>
  <si>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</si>
  <si>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Stroke_values_3db_table</t>
  </si>
  <si>
    <t>Road value (Lnight)</t>
  </si>
  <si>
    <t>Rail value (Lnight)</t>
  </si>
  <si>
    <t>Aviation value (Lnight)</t>
  </si>
  <si>
    <t>Road value (dB Leq, 16hr)</t>
  </si>
  <si>
    <t>Noise change in the interval</t>
  </si>
  <si>
    <t>Without_45_with_xx_dementia_value</t>
  </si>
  <si>
    <t>Without_45_48_with_xx_dementia_value</t>
  </si>
  <si>
    <t>Without_48_51_with_xx_dementia_value</t>
  </si>
  <si>
    <t>Without_51_54_with_xx_dementia_value</t>
  </si>
  <si>
    <t>Without_54_57_with_xx_dementia_value</t>
  </si>
  <si>
    <t>Without_57_60_with_xx_dementia_value</t>
  </si>
  <si>
    <t>Without_60_63_with_xx_dementia_value</t>
  </si>
  <si>
    <t>Without_63_66_with_xx_dementia_value</t>
  </si>
  <si>
    <t>Without_66_69_with_xx_dementia_value</t>
  </si>
  <si>
    <t>Without_69_72_with_xx_dementia_value</t>
  </si>
  <si>
    <t>Without_72_75_with_xx_dementia_value</t>
  </si>
  <si>
    <t>Without_75_78_with_xx_dementia_value</t>
  </si>
  <si>
    <t>Without_78_81_with_xx_dementia_value</t>
  </si>
  <si>
    <t>Without_81_with_xx_dementia_value</t>
  </si>
  <si>
    <t>Without_45_with_xx_composite_value</t>
  </si>
  <si>
    <t>Without_45_48_with_xx_composite_value</t>
  </si>
  <si>
    <t>Without_48_51_with_xx_composite_value</t>
  </si>
  <si>
    <t>Without_51_54_with_xx_composite_value</t>
  </si>
  <si>
    <t>Without_54_57_with_xx_composite_value</t>
  </si>
  <si>
    <t>Without_57_60_with_xx_composite_value</t>
  </si>
  <si>
    <t>Without_60_63_with_xx_composite_value</t>
  </si>
  <si>
    <t>Without_63_66_with_xx_composite_value</t>
  </si>
  <si>
    <t>Without_66_69_with_xx_composite_value</t>
  </si>
  <si>
    <t>Without_69_72_with_xx_composite_value</t>
  </si>
  <si>
    <t>Without_72_75_with_xx_composite_value</t>
  </si>
  <si>
    <t>Without_75_78_with_xx_composite_value</t>
  </si>
  <si>
    <t>Without_78_81_with_xx_composite_value</t>
  </si>
  <si>
    <t>Without_81_with_xx_composite_value</t>
  </si>
  <si>
    <t>Opening_without_45_with_xx_composite_cost</t>
  </si>
  <si>
    <t>Opening_without_45_48_with_xx_composite_cost</t>
  </si>
  <si>
    <t>Opening_without_48_51_with_xx_composite_cost</t>
  </si>
  <si>
    <t>Opening_without_51_54_with_xx_composite_cost</t>
  </si>
  <si>
    <t>Opening_without_54_57_with_xx_composite_cost</t>
  </si>
  <si>
    <t>Opening_without_57_60_with_xx_composite_cost</t>
  </si>
  <si>
    <t>Opening_without_60_63_with_xx_composite_cost</t>
  </si>
  <si>
    <t>Opening_without_63_66_with_xx_composite_cost</t>
  </si>
  <si>
    <t>Opening_without_66_69_with_xx_composite_cost</t>
  </si>
  <si>
    <t>Opening_without_69_72_with_xx_composite_cost</t>
  </si>
  <si>
    <t>Opening_without_72_75_with_xx_composite_cost</t>
  </si>
  <si>
    <t>Opening_without_75_78_with_xx_composite_cost</t>
  </si>
  <si>
    <t>Opening_without_78_81_with_xx_composite_cost</t>
  </si>
  <si>
    <t>Opening_without_81_with_xx_composite_cost</t>
  </si>
  <si>
    <t>Forecast_without_45_with_xx_composite_cost</t>
  </si>
  <si>
    <t>Forecast_without_45_48_with_xx_composite_cost</t>
  </si>
  <si>
    <t>Forecast_without_48_51_with_xx_composite_cost</t>
  </si>
  <si>
    <t>Forecast_without_51_54_with_xx_composite_cost</t>
  </si>
  <si>
    <t>Forecast_without_54_57_with_xx_composite_cost</t>
  </si>
  <si>
    <t>Forecast_without_57_60_with_xx_composite_cost</t>
  </si>
  <si>
    <t>Forecast_without_60_63_with_xx_composite_cost</t>
  </si>
  <si>
    <t>Forecast_without_63_66_with_xx_composite_cost</t>
  </si>
  <si>
    <t>Forecast_without_66_69_with_xx_composite_cost</t>
  </si>
  <si>
    <t>Forecast_without_69_72_with_xx_composite_cost</t>
  </si>
  <si>
    <t>Forecast_without_72_75_with_xx_composite_cost</t>
  </si>
  <si>
    <t>Forecast_without_75_78_with_xx_composite_cost</t>
  </si>
  <si>
    <t>Forecast_without_78_81_with_xx_composite_cost</t>
  </si>
  <si>
    <t>Forecast_without_81_with_xx_composite_cost</t>
  </si>
  <si>
    <t>Opening_year_composite_cost</t>
  </si>
  <si>
    <t>Forecast_year_composite_cost</t>
  </si>
  <si>
    <t>Difference in composite cost</t>
  </si>
  <si>
    <t>If night time (sleep disturbance) impacts are to be calculated from modelling of the Lnight period, select 'yes'. If night time impacts are to be translated from daytime noise metrics (for roads only), select 'no'.</t>
  </si>
  <si>
    <t>If night time noise (and sleep disturbance impacts) are to be included, select 'yes'. If night time impacts are to be excluded, select 'no'.</t>
  </si>
  <si>
    <t>TAG Unit A3 - Environmental Impact Appraisal</t>
  </si>
  <si>
    <t>This tool is designed to help with valuation of noise impacts, in conjunction with guidance given in TAG Unit A3.</t>
  </si>
  <si>
    <t>Revised workbook structure released as forthcoming change</t>
  </si>
  <si>
    <t>To use this tool, the following are required:</t>
  </si>
  <si>
    <t>Year of appraisal</t>
  </si>
  <si>
    <t>Opening year and further forecast year of the analysed scheme/policy</t>
  </si>
  <si>
    <t>The numbers of households experiencing different noise levels (in bands of 3dBLeq) in the without and with scheme case for the opening year</t>
  </si>
  <si>
    <t>The numbers of households experiencing different noise levels (in bands of 3dBLeq) in the without and with scheme case for the forecast year</t>
  </si>
  <si>
    <t>The scheme type: road, rail and aviation</t>
  </si>
  <si>
    <t>Cells requiring user inputs on the 'inputs' sheet are shaded light green. The user inputs required are:</t>
  </si>
  <si>
    <t>Scheme opening year</t>
  </si>
  <si>
    <t>Scheme type (road, rail or road/rail)</t>
  </si>
  <si>
    <t>Current year - the year the appraisal is undertaken to ensure the correct profile of discount rates</t>
  </si>
  <si>
    <t>Whether night noise impacts (on sleep disturbance) are to be included</t>
  </si>
  <si>
    <t>The numbers of households experiencing different noise levels (in bands of 3dBLeq, 16hr) in the without and with scheme case for the opening year</t>
  </si>
  <si>
    <t>The numbers of households experiencing different noise levels (in bands of 3dBLeq, 16hr) in the without and with scheme case for the forecast year</t>
  </si>
  <si>
    <t>Whether night noise impacts (on sleep disturbance) will be assessed using modelling of the Lnight period, or translation from daytime noise measures.</t>
  </si>
  <si>
    <t>(and in bands of 3dBLnight, if night time impacts are being assessed using modelling of that period).</t>
  </si>
  <si>
    <t>Assumed average household size over the appraisal period (with a default of 2.3, consistent with the derivation of the values used).</t>
  </si>
  <si>
    <t>The other standard inputs are taken from the TAG data book / guidance:</t>
  </si>
  <si>
    <t>Standard 60-year appraisal period</t>
  </si>
  <si>
    <t>Standard DfT base year for present values and prices</t>
  </si>
  <si>
    <t>HMT profile of discount rates</t>
  </si>
  <si>
    <t>GDP deflator series from TAG data book (if results are required for a different base year)</t>
  </si>
  <si>
    <t>Values for changes in noise levels for different sources of noise (road, rail and aviation) and impact pathways</t>
  </si>
  <si>
    <t>Real GDP/cap series for uprating values over time</t>
  </si>
  <si>
    <t>The 'outputs' sheet produces a worksheet of outputs, as described in TAG Unit A3.</t>
  </si>
  <si>
    <t>S_d_1_to_3_dB_band_45</t>
  </si>
  <si>
    <t>S_d_1_to_3_dB_band_45-48</t>
  </si>
  <si>
    <t>S_d_1_to_3_dB_band_48-51</t>
  </si>
  <si>
    <t>S_d_1_to_3_dB_band_51-54</t>
  </si>
  <si>
    <t>S_d_1_to_3_dB_band_54-57</t>
  </si>
  <si>
    <t>S_d_1_to_3_dB_band_57-60</t>
  </si>
  <si>
    <t>S_d_1_to_3_dB_band_60-63</t>
  </si>
  <si>
    <t>S_d_1_to_3_dB_band_63-66</t>
  </si>
  <si>
    <t>S_d_1_to_3_dB_band_66-69</t>
  </si>
  <si>
    <t>S_d_1_to_3_dB_band_69-72</t>
  </si>
  <si>
    <t>S_d_1_to_3_dB_band_72-75</t>
  </si>
  <si>
    <t>S_d_1_to_3_dB_band_75-78</t>
  </si>
  <si>
    <t>S_d_1_to_3_dB_band_78-81</t>
  </si>
  <si>
    <t>values to values by 3dB</t>
  </si>
  <si>
    <t>bands</t>
  </si>
  <si>
    <t>contribution of 1dB band</t>
  </si>
  <si>
    <t>amenity_1_to_3_dB_band_45</t>
  </si>
  <si>
    <t>amenity_1_to_3_dB_band_45-48</t>
  </si>
  <si>
    <t>amenity_1_to_3_dB_band_48-51</t>
  </si>
  <si>
    <t>amenity_1_to_3_dB_band_51-54</t>
  </si>
  <si>
    <t>amenity_1_to_3_dB_band_54-57</t>
  </si>
  <si>
    <t>amenity_1_to_3_dB_band_57-60</t>
  </si>
  <si>
    <t>amenity_1_to_3_dB_band_60-63</t>
  </si>
  <si>
    <t>amenity_1_to_3_dB_band_63-66</t>
  </si>
  <si>
    <t>amenity_1_to_3_dB_band_66-69</t>
  </si>
  <si>
    <t>amenity_1_to_3_dB_band_69-72</t>
  </si>
  <si>
    <t>amenity_1_to_3_dB_band_72-75</t>
  </si>
  <si>
    <t>amenity_1_to_3_dB_band_75-78</t>
  </si>
  <si>
    <t>amenity_1_to_3_dB_band_78-81</t>
  </si>
  <si>
    <t>AMI_1_to_3_dB_band_45</t>
  </si>
  <si>
    <t>AMI_1_to_3_dB_band_45-48</t>
  </si>
  <si>
    <t>AMI_1_to_3_dB_band_48-51</t>
  </si>
  <si>
    <t>AMI_1_to_3_dB_band_51-54</t>
  </si>
  <si>
    <t>AMI_1_to_3_dB_band_54-57</t>
  </si>
  <si>
    <t>AMI_1_to_3_dB_band_57-60</t>
  </si>
  <si>
    <t>AMI_1_to_3_dB_band_60-63</t>
  </si>
  <si>
    <t>AMI_1_to_3_dB_band_63-66</t>
  </si>
  <si>
    <t>AMI_1_to_3_dB_band_66-69</t>
  </si>
  <si>
    <t>AMI_1_to_3_dB_band_69-72</t>
  </si>
  <si>
    <t>AMI_1_to_3_dB_band_72-75</t>
  </si>
  <si>
    <t>AMI_1_to_3_dB_band_75-78</t>
  </si>
  <si>
    <t>AMI_1_to_3_dB_band_78-81</t>
  </si>
  <si>
    <t>stroke_1_to_3_dB_band_45</t>
  </si>
  <si>
    <t>stroke_1_to_3_dB_band_45-48</t>
  </si>
  <si>
    <t>stroke_1_to_3_dB_band_48-51</t>
  </si>
  <si>
    <t>stroke_1_to_3_dB_band_51-54</t>
  </si>
  <si>
    <t>stroke_1_to_3_dB_band_54-57</t>
  </si>
  <si>
    <t>stroke_1_to_3_dB_band_57-60</t>
  </si>
  <si>
    <t>stroke_1_to_3_dB_band_60-63</t>
  </si>
  <si>
    <t>stroke_1_to_3_dB_band_63-66</t>
  </si>
  <si>
    <t>stroke_1_to_3_dB_band_66-69</t>
  </si>
  <si>
    <t>stroke_1_to_3_dB_band_69-72</t>
  </si>
  <si>
    <t>stroke_1_to_3_dB_band_72-75</t>
  </si>
  <si>
    <t>stroke_1_to_3_dB_band_75-78</t>
  </si>
  <si>
    <t>stroke_1_to_3_dB_band_78-81</t>
  </si>
  <si>
    <t>dementia_1_to_3_dB_band_45</t>
  </si>
  <si>
    <t>dementia_1_to_3_dB_band_45-48</t>
  </si>
  <si>
    <t>dementia_1_to_3_dB_band_48-51</t>
  </si>
  <si>
    <t>dementia_1_to_3_dB_band_51-54</t>
  </si>
  <si>
    <t>dementia_1_to_3_dB_band_54-57</t>
  </si>
  <si>
    <t>dementia_1_to_3_dB_band_57-60</t>
  </si>
  <si>
    <t>dementia_1_to_3_dB_band_60-63</t>
  </si>
  <si>
    <t>dementia_1_to_3_dB_band_63-66</t>
  </si>
  <si>
    <t>dementia_1_to_3_dB_band_66-69</t>
  </si>
  <si>
    <t>dementia_1_to_3_dB_band_69-72</t>
  </si>
  <si>
    <t>dementia_1_to_3_dB_band_72-75</t>
  </si>
  <si>
    <t>dementia_1_to_3_dB_band_75-78</t>
  </si>
  <si>
    <t>dementia_1_to_3_dB_band_78-81</t>
  </si>
  <si>
    <t>dementia_values_3db_table</t>
  </si>
  <si>
    <t>lower bound 3dB band</t>
  </si>
  <si>
    <t>Households experiencing increase (day)</t>
  </si>
  <si>
    <t>Households experiencing decrease (day)</t>
  </si>
  <si>
    <t>Households experiencing increase (night)</t>
  </si>
  <si>
    <t>Households experiencing decrease (night)</t>
  </si>
  <si>
    <t>HH with decrease in noise</t>
  </si>
  <si>
    <t>HH with increased noise</t>
  </si>
  <si>
    <t>Forecast_HH_decreased_noise_day</t>
  </si>
  <si>
    <t>Forecast_HH_increased_noise_day</t>
  </si>
  <si>
    <t>Forecast_HH_decreased_noise_night</t>
  </si>
  <si>
    <t>Forecast_HH_increased_noise_night</t>
  </si>
  <si>
    <t>Quantitative results</t>
  </si>
  <si>
    <t>Households experiencing increased daytime noise in forecast year:</t>
  </si>
  <si>
    <t>Households experiencing reduced daytime noise in forecast year:</t>
  </si>
  <si>
    <t>Households experiencing increased night time noise in forecast year:</t>
  </si>
  <si>
    <t>Total_HH_increase_day</t>
  </si>
  <si>
    <t>Total_HH_reduction_day</t>
  </si>
  <si>
    <t>Total_HH_increase_night</t>
  </si>
  <si>
    <t>Total_HH_reduction_night</t>
  </si>
  <si>
    <t>Households experiencing reduced night time noise in forecast year:</t>
  </si>
  <si>
    <t>TAG data book Autumn 2015 FINAL (v1.4 December 2015). A1.1.1</t>
  </si>
  <si>
    <t>TAG data book Autumn 2015 FINAL (v1.4 December 2015). Annual parameters tab.</t>
  </si>
  <si>
    <t>Warrington Western Link Road Red</t>
  </si>
  <si>
    <t>OS Mapping</t>
  </si>
  <si>
    <t>Saturn Traffic Model</t>
  </si>
  <si>
    <t>OS Address Point Data</t>
  </si>
  <si>
    <t xml:space="preserve">Greater number of households experiencing an increase in noise than a decrease in noise, therefore there is an overall net disbenefit.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</si>
</sst>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quot;£&quot;#,##0"/>
  </numFmts>
  <fonts count="3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Calibri"/>
      <family val="2"/>
      <scheme val="minor"/>
    </font>
    <font>
      <b/>
      <sz val="14"/>
      <color theme="0"/>
      <name val="Calibri"/>
      <family val="2"/>
      <scheme val="minor"/>
    </font>
    <font>
      <i/>
      <sz val="11"/>
      <color theme="1"/>
      <name val="Calibri"/>
      <family val="2"/>
      <scheme val="minor"/>
    </font>
    <font>
      <b/>
      <sz val="12"/>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name val="Arial"/>
      <family val="2"/>
    </font>
    <font>
      <b/>
      <sz val="11"/>
      <name val="Arial"/>
      <family val="2"/>
    </font>
    <font>
      <b/>
      <u/>
      <sz val="11"/>
      <name val="Arial"/>
      <family val="2"/>
    </font>
    <font>
      <u/>
      <sz val="12"/>
      <name val="Arial"/>
      <family val="2"/>
    </font>
    <font>
      <sz val="11"/>
      <name val="Arial"/>
      <family val="2"/>
    </font>
    <font>
      <sz val="14"/>
      <name val="Arial"/>
      <family val="2"/>
    </font>
    <font>
      <sz val="7"/>
      <name val="Arial"/>
      <family val="2"/>
    </font>
    <font>
      <b/>
      <sz val="7"/>
      <name val="Arial"/>
      <family val="2"/>
    </font>
    <font>
      <b/>
      <sz val="12"/>
      <name val="Arial"/>
      <family val="2"/>
    </font>
    <font>
      <b/>
      <sz val="11"/>
      <color theme="0"/>
      <name val="Calibri"/>
      <family val="2"/>
      <scheme val="minor"/>
    </font>
    <font>
      <b/>
      <sz val="11"/>
      <name val="Calibri"/>
      <family val="2"/>
      <scheme val="minor"/>
    </font>
    <font>
      <i/>
      <sz val="11"/>
      <name val="Calibri"/>
      <family val="2"/>
      <scheme val="minor"/>
    </font>
    <font>
      <b/>
      <sz val="10"/>
      <color indexed="10"/>
      <name val="Arial"/>
      <family val="2"/>
    </font>
    <font>
      <u/>
      <sz val="10"/>
      <color theme="10"/>
      <name val="Arial"/>
      <family val="2"/>
    </font>
    <font>
      <u/>
      <sz val="10"/>
      <name val="Arial"/>
      <family val="2"/>
    </font>
    <font>
      <sz val="11"/>
      <color rgb="FFFF0000"/>
      <name val="Calibri"/>
      <family val="2"/>
      <scheme val="minor"/>
    </font>
    <font>
      <b/>
      <sz val="11"/>
      <color rgb="FFFF0000"/>
      <name val="Calibri"/>
      <family val="2"/>
      <scheme val="minor"/>
    </font>
    <font>
      <sz val="10"/>
      <color rgb="FFFF0000"/>
      <name val="Arial"/>
      <family val="2"/>
    </font>
  </fonts>
  <fills count="6">
    <fill>
      <patternFill patternType="none"/>
    </fill>
    <fill>
      <patternFill patternType="gray125"/>
    </fill>
    <fill>
      <patternFill patternType="solid">
        <fgColor rgb="FF006E5A"/>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s>
  <cellStyleXfs count="9">
    <xf numFmtId="0" fontId="0" fillId="0" borderId="0"/>
    <xf numFmtId="0" fontId="6" fillId="2" borderId="0"/>
    <xf numFmtId="0" fontId="7" fillId="2" borderId="0"/>
    <xf numFmtId="0" fontId="9" fillId="3" borderId="0"/>
    <xf numFmtId="0" fontId="11" fillId="0" borderId="0"/>
    <xf numFmtId="9" fontId="15" fillId="0" borderId="0" applyFont="0" applyFill="0" applyBorder="0" applyAlignment="0" applyProtection="0"/>
    <xf numFmtId="0" fontId="12" fillId="0" borderId="0"/>
    <xf numFmtId="0" fontId="29" fillId="0" borderId="0" applyNumberFormat="0" applyFill="0" applyBorder="0" applyAlignment="0" applyProtection="0"/>
    <xf numFmtId="43" fontId="15" fillId="0" borderId="0" applyFont="0" applyFill="0" applyBorder="0" applyAlignment="0" applyProtection="0"/>
  </cellStyleXfs>
  <cellXfs count="193">
    <xf numFmtId="0" fontId="0" fillId="0" borderId="0" xfId="0"/>
    <xf numFmtId="0" fontId="6" fillId="2" borderId="0" xfId="1"/>
    <xf numFmtId="0" fontId="7" fillId="2" borderId="0" xfId="2"/>
    <xf numFmtId="0" fontId="8" fillId="0" borderId="0" xfId="0" applyFont="1"/>
    <xf numFmtId="0" fontId="7" fillId="0" borderId="0" xfId="2" applyFill="1"/>
    <xf numFmtId="0" fontId="9" fillId="3" borderId="0" xfId="3"/>
    <xf numFmtId="0" fontId="8" fillId="4" borderId="0" xfId="3" applyFont="1" applyFill="1"/>
    <xf numFmtId="0" fontId="0" fillId="0" borderId="0" xfId="0" applyBorder="1"/>
    <xf numFmtId="0" fontId="0" fillId="0" borderId="0" xfId="0" applyFill="1"/>
    <xf numFmtId="0" fontId="13" fillId="0" borderId="0" xfId="2" applyFont="1" applyFill="1"/>
    <xf numFmtId="0" fontId="0" fillId="3" borderId="0" xfId="0" applyFill="1"/>
    <xf numFmtId="0" fontId="9" fillId="3" borderId="0" xfId="0" applyFont="1" applyFill="1"/>
    <xf numFmtId="1" fontId="0" fillId="3" borderId="0" xfId="0" applyNumberFormat="1" applyFill="1" applyBorder="1"/>
    <xf numFmtId="0" fontId="8" fillId="3" borderId="0" xfId="0" applyFont="1" applyFill="1"/>
    <xf numFmtId="0" fontId="8" fillId="0" borderId="0" xfId="0" applyFont="1" applyBorder="1"/>
    <xf numFmtId="0" fontId="8" fillId="0" borderId="0" xfId="0" applyFont="1" applyFill="1" applyBorder="1"/>
    <xf numFmtId="0" fontId="13" fillId="0" borderId="0" xfId="0" applyFont="1"/>
    <xf numFmtId="0" fontId="13" fillId="0" borderId="4" xfId="0" applyFont="1" applyFill="1" applyBorder="1" applyAlignment="1">
      <alignment horizontal="center" wrapText="1"/>
    </xf>
    <xf numFmtId="1" fontId="13" fillId="0" borderId="4" xfId="0" applyNumberFormat="1" applyFont="1" applyBorder="1" applyAlignment="1">
      <alignment horizontal="center"/>
    </xf>
    <xf numFmtId="0" fontId="13" fillId="0" borderId="4" xfId="0" applyFont="1" applyBorder="1" applyAlignment="1">
      <alignment horizontal="center"/>
    </xf>
    <xf numFmtId="2" fontId="8" fillId="0" borderId="6" xfId="0" applyNumberFormat="1" applyFont="1" applyFill="1" applyBorder="1" applyAlignment="1">
      <alignment horizontal="left"/>
    </xf>
    <xf numFmtId="2" fontId="13"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9" fillId="0" borderId="0" xfId="3" applyFill="1"/>
    <xf numFmtId="0" fontId="8" fillId="0" borderId="0" xfId="3" applyFont="1" applyFill="1"/>
    <xf numFmtId="0" fontId="13" fillId="0" borderId="0" xfId="3" applyFont="1" applyFill="1"/>
    <xf numFmtId="0" fontId="8" fillId="0" borderId="0" xfId="0" applyFont="1" applyFill="1"/>
    <xf numFmtId="0" fontId="9" fillId="3" borderId="0" xfId="3" applyFill="1"/>
    <xf numFmtId="2" fontId="8" fillId="0" borderId="0" xfId="0" applyNumberFormat="1" applyFont="1" applyFill="1" applyBorder="1" applyAlignment="1">
      <alignment horizontal="left" vertical="center"/>
    </xf>
    <xf numFmtId="0" fontId="13" fillId="0" borderId="0" xfId="0" applyFont="1" applyFill="1"/>
    <xf numFmtId="165" fontId="8" fillId="0" borderId="0" xfId="0" applyNumberFormat="1" applyFont="1"/>
    <xf numFmtId="0" fontId="8" fillId="4" borderId="0" xfId="0" applyFont="1" applyFill="1"/>
    <xf numFmtId="0" fontId="9" fillId="0" borderId="0" xfId="2" applyFont="1" applyFill="1"/>
    <xf numFmtId="0" fontId="11" fillId="0" borderId="0" xfId="4"/>
    <xf numFmtId="0" fontId="11" fillId="0" borderId="0" xfId="4" applyFill="1"/>
    <xf numFmtId="0" fontId="16" fillId="0" borderId="0" xfId="6" applyFont="1"/>
    <xf numFmtId="0" fontId="16" fillId="0" borderId="0" xfId="6" applyFont="1" applyFill="1"/>
    <xf numFmtId="0" fontId="21" fillId="0" borderId="0" xfId="6" applyFont="1"/>
    <xf numFmtId="0" fontId="17" fillId="0" borderId="0" xfId="6" applyFont="1"/>
    <xf numFmtId="0" fontId="16" fillId="0" borderId="5" xfId="6" applyFont="1" applyBorder="1" applyAlignment="1">
      <alignment horizontal="right"/>
    </xf>
    <xf numFmtId="0" fontId="18" fillId="0" borderId="0" xfId="6" applyFont="1" applyBorder="1"/>
    <xf numFmtId="0" fontId="19" fillId="0" borderId="0" xfId="6" applyFont="1" applyBorder="1"/>
    <xf numFmtId="0" fontId="16" fillId="0" borderId="13" xfId="6" applyFont="1" applyFill="1" applyBorder="1" applyAlignment="1">
      <alignment horizontal="center"/>
    </xf>
    <xf numFmtId="0" fontId="16" fillId="0" borderId="0" xfId="6" applyFont="1" applyFill="1" applyBorder="1" applyAlignment="1">
      <alignment horizontal="center"/>
    </xf>
    <xf numFmtId="0" fontId="20" fillId="0" borderId="0" xfId="6" applyFont="1"/>
    <xf numFmtId="0" fontId="16" fillId="0" borderId="0" xfId="6" applyFont="1" applyFill="1" applyBorder="1"/>
    <xf numFmtId="0" fontId="17" fillId="0" borderId="0" xfId="6" applyFont="1" applyAlignment="1"/>
    <xf numFmtId="0" fontId="20" fillId="0" borderId="0" xfId="6" applyFont="1" applyAlignment="1"/>
    <xf numFmtId="0" fontId="16" fillId="5" borderId="14" xfId="6" applyFont="1" applyFill="1" applyBorder="1"/>
    <xf numFmtId="0" fontId="16" fillId="5" borderId="0" xfId="6" applyFont="1" applyFill="1" applyBorder="1"/>
    <xf numFmtId="0" fontId="18" fillId="5" borderId="0" xfId="6" applyFont="1" applyFill="1" applyBorder="1" applyAlignment="1"/>
    <xf numFmtId="0" fontId="17" fillId="5" borderId="0" xfId="6" applyFont="1" applyFill="1" applyBorder="1" applyAlignment="1"/>
    <xf numFmtId="0" fontId="20" fillId="5" borderId="0" xfId="6" applyFont="1" applyFill="1" applyBorder="1" applyAlignment="1">
      <alignment wrapText="1"/>
    </xf>
    <xf numFmtId="0" fontId="20" fillId="5" borderId="0" xfId="6" applyFont="1" applyFill="1" applyBorder="1" applyAlignment="1"/>
    <xf numFmtId="166" fontId="16" fillId="0" borderId="13" xfId="6" applyNumberFormat="1" applyFont="1" applyFill="1" applyBorder="1" applyAlignment="1">
      <alignment horizontal="center"/>
    </xf>
    <xf numFmtId="166" fontId="16" fillId="0" borderId="0" xfId="6" applyNumberFormat="1" applyFont="1" applyFill="1" applyBorder="1" applyAlignment="1">
      <alignment horizontal="center"/>
    </xf>
    <xf numFmtId="0" fontId="20" fillId="5" borderId="0" xfId="6" applyFont="1" applyFill="1" applyBorder="1"/>
    <xf numFmtId="2" fontId="22" fillId="5" borderId="0" xfId="6" applyNumberFormat="1" applyFont="1" applyFill="1" applyBorder="1" applyAlignment="1">
      <alignment horizontal="left" wrapText="1"/>
    </xf>
    <xf numFmtId="2" fontId="22" fillId="0" borderId="0" xfId="6" applyNumberFormat="1" applyFont="1" applyFill="1" applyBorder="1" applyAlignment="1">
      <alignment horizontal="left" wrapText="1"/>
    </xf>
    <xf numFmtId="0" fontId="20" fillId="0" borderId="0" xfId="6" applyFont="1" applyBorder="1"/>
    <xf numFmtId="0" fontId="20" fillId="0" borderId="0" xfId="6" applyFont="1" applyFill="1" applyBorder="1"/>
    <xf numFmtId="0" fontId="16" fillId="0" borderId="0" xfId="6" applyFont="1" applyBorder="1"/>
    <xf numFmtId="0" fontId="20" fillId="5" borderId="14" xfId="6" applyFont="1" applyFill="1" applyBorder="1"/>
    <xf numFmtId="0" fontId="12" fillId="5" borderId="0" xfId="6" applyFill="1" applyBorder="1" applyAlignment="1"/>
    <xf numFmtId="0" fontId="24" fillId="5" borderId="0" xfId="6" applyFont="1" applyFill="1" applyBorder="1"/>
    <xf numFmtId="0" fontId="24" fillId="0" borderId="0" xfId="6" applyFont="1" applyFill="1" applyBorder="1"/>
    <xf numFmtId="0" fontId="16" fillId="5" borderId="15" xfId="6" applyFont="1" applyFill="1" applyBorder="1"/>
    <xf numFmtId="0" fontId="18" fillId="5" borderId="0" xfId="6" applyFont="1" applyFill="1" applyBorder="1"/>
    <xf numFmtId="0" fontId="24" fillId="0" borderId="0" xfId="6" applyFont="1"/>
    <xf numFmtId="0" fontId="24" fillId="0" borderId="0" xfId="6" applyFont="1" applyFill="1"/>
    <xf numFmtId="1" fontId="8" fillId="0" borderId="0" xfId="0" applyNumberFormat="1" applyFont="1" applyBorder="1"/>
    <xf numFmtId="0" fontId="12" fillId="0" borderId="4" xfId="0" applyFont="1" applyFill="1" applyBorder="1"/>
    <xf numFmtId="2" fontId="12" fillId="3" borderId="4" xfId="0" applyNumberFormat="1" applyFont="1" applyFill="1" applyBorder="1"/>
    <xf numFmtId="0" fontId="25" fillId="2" borderId="0" xfId="2" applyFont="1"/>
    <xf numFmtId="0" fontId="12" fillId="3" borderId="4" xfId="0" applyFont="1" applyFill="1" applyBorder="1" applyAlignment="1">
      <alignment horizontal="left"/>
    </xf>
    <xf numFmtId="0" fontId="25" fillId="2" borderId="0" xfId="2" applyFont="1" applyFill="1"/>
    <xf numFmtId="0" fontId="25" fillId="2" borderId="12" xfId="2" applyFont="1" applyBorder="1"/>
    <xf numFmtId="0" fontId="12" fillId="0" borderId="4" xfId="0" applyFont="1" applyFill="1" applyBorder="1" applyAlignment="1">
      <alignment horizontal="right"/>
    </xf>
    <xf numFmtId="2" fontId="13" fillId="0" borderId="4" xfId="0" applyNumberFormat="1" applyFont="1" applyFill="1" applyBorder="1" applyAlignment="1">
      <alignment horizontal="center"/>
    </xf>
    <xf numFmtId="2" fontId="13" fillId="0" borderId="4" xfId="0" applyNumberFormat="1" applyFont="1" applyFill="1" applyBorder="1" applyAlignment="1">
      <alignment horizontal="center" wrapText="1"/>
    </xf>
    <xf numFmtId="2" fontId="12" fillId="0" borderId="4" xfId="0" applyNumberFormat="1" applyFont="1" applyFill="1" applyBorder="1" applyAlignment="1">
      <alignment horizontal="center"/>
    </xf>
    <xf numFmtId="2" fontId="12" fillId="0" borderId="0" xfId="0" applyNumberFormat="1" applyFont="1" applyFill="1" applyBorder="1" applyAlignment="1">
      <alignment horizontal="center"/>
    </xf>
    <xf numFmtId="2" fontId="12" fillId="0" borderId="0" xfId="0" applyNumberFormat="1" applyFont="1" applyFill="1" applyAlignment="1">
      <alignment horizontal="center"/>
    </xf>
    <xf numFmtId="0" fontId="12" fillId="0" borderId="0" xfId="0" applyFont="1" applyFill="1"/>
    <xf numFmtId="2" fontId="12" fillId="0" borderId="0" xfId="0" applyNumberFormat="1" applyFont="1" applyFill="1" applyBorder="1"/>
    <xf numFmtId="0" fontId="12" fillId="0" borderId="0" xfId="2" applyFont="1" applyFill="1"/>
    <xf numFmtId="0" fontId="8" fillId="0" borderId="0" xfId="2" applyFont="1" applyFill="1"/>
    <xf numFmtId="0" fontId="5" fillId="0" borderId="0" xfId="0" applyFont="1" applyFill="1"/>
    <xf numFmtId="0" fontId="12" fillId="0" borderId="4" xfId="0" applyFont="1" applyFill="1" applyBorder="1" applyAlignment="1">
      <alignment horizontal="center"/>
    </xf>
    <xf numFmtId="0" fontId="26" fillId="0" borderId="4" xfId="0" applyFont="1" applyFill="1" applyBorder="1" applyAlignment="1">
      <alignment horizontal="center" wrapText="1"/>
    </xf>
    <xf numFmtId="0" fontId="14" fillId="0" borderId="4" xfId="0" applyFont="1" applyFill="1" applyBorder="1" applyAlignment="1">
      <alignment horizontal="center"/>
    </xf>
    <xf numFmtId="0" fontId="25" fillId="0" borderId="0" xfId="2" applyFont="1" applyFill="1"/>
    <xf numFmtId="0" fontId="12" fillId="0" borderId="0" xfId="0" applyFont="1" applyFill="1" applyBorder="1"/>
    <xf numFmtId="0" fontId="27" fillId="0" borderId="0" xfId="0" applyFont="1" applyFill="1" applyAlignment="1">
      <alignment wrapText="1"/>
    </xf>
    <xf numFmtId="0" fontId="27" fillId="0" borderId="0" xfId="0" applyFont="1" applyFill="1" applyAlignment="1"/>
    <xf numFmtId="0" fontId="25" fillId="0" borderId="0" xfId="4" applyFont="1" applyFill="1" applyBorder="1" applyAlignment="1"/>
    <xf numFmtId="0" fontId="12" fillId="0" borderId="0" xfId="0" applyFont="1" applyFill="1" applyAlignment="1">
      <alignment wrapText="1"/>
    </xf>
    <xf numFmtId="1" fontId="12" fillId="0" borderId="4" xfId="0" applyNumberFormat="1" applyFont="1" applyFill="1" applyBorder="1" applyAlignment="1">
      <alignment horizontal="right"/>
    </xf>
    <xf numFmtId="1" fontId="12" fillId="0" borderId="0" xfId="0" applyNumberFormat="1" applyFont="1" applyFill="1" applyBorder="1"/>
    <xf numFmtId="0" fontId="12" fillId="0" borderId="0" xfId="0" applyFont="1" applyFill="1" applyAlignment="1">
      <alignment vertical="top" wrapText="1"/>
    </xf>
    <xf numFmtId="2" fontId="8" fillId="0" borderId="0" xfId="0" applyNumberFormat="1" applyFont="1" applyFill="1" applyAlignment="1">
      <alignment horizontal="center"/>
    </xf>
    <xf numFmtId="0" fontId="14" fillId="0" borderId="0" xfId="4" applyFont="1" applyFill="1" applyBorder="1"/>
    <xf numFmtId="2" fontId="5" fillId="0" borderId="0" xfId="0" applyNumberFormat="1" applyFont="1" applyFill="1" applyBorder="1" applyAlignment="1">
      <alignment horizontal="left"/>
    </xf>
    <xf numFmtId="164" fontId="12" fillId="0" borderId="4" xfId="0" applyNumberFormat="1" applyFont="1" applyFill="1" applyBorder="1"/>
    <xf numFmtId="164" fontId="12" fillId="0" borderId="0" xfId="0" applyNumberFormat="1" applyFont="1" applyFill="1" applyBorder="1"/>
    <xf numFmtId="2" fontId="14" fillId="0" borderId="4" xfId="0" applyNumberFormat="1" applyFont="1" applyFill="1" applyBorder="1" applyAlignment="1" applyProtection="1">
      <alignment horizontal="right" vertical="center"/>
      <protection hidden="1"/>
    </xf>
    <xf numFmtId="2" fontId="8" fillId="0" borderId="0" xfId="0" applyNumberFormat="1" applyFont="1" applyFill="1" applyBorder="1"/>
    <xf numFmtId="4" fontId="14" fillId="0" borderId="4" xfId="0" applyNumberFormat="1" applyFont="1" applyFill="1" applyBorder="1" applyAlignment="1" applyProtection="1">
      <alignment horizontal="right" vertical="center" wrapText="1"/>
      <protection hidden="1"/>
    </xf>
    <xf numFmtId="0" fontId="5" fillId="2" borderId="0" xfId="0" applyFont="1" applyFill="1" applyBorder="1" applyAlignment="1">
      <alignment horizontal="center"/>
    </xf>
    <xf numFmtId="0" fontId="5" fillId="2" borderId="3" xfId="0" applyFont="1" applyFill="1" applyBorder="1" applyAlignment="1">
      <alignment horizontal="center"/>
    </xf>
    <xf numFmtId="0" fontId="5" fillId="3" borderId="4" xfId="3" applyFont="1" applyBorder="1"/>
    <xf numFmtId="0" fontId="17" fillId="5" borderId="0" xfId="6" applyFont="1" applyFill="1" applyBorder="1" applyAlignment="1">
      <alignment vertical="center"/>
    </xf>
    <xf numFmtId="0" fontId="20" fillId="5" borderId="0" xfId="6" applyFont="1" applyFill="1" applyBorder="1" applyAlignment="1">
      <alignment vertical="center" wrapText="1"/>
    </xf>
    <xf numFmtId="0" fontId="20" fillId="5" borderId="0" xfId="6" applyFont="1" applyFill="1" applyBorder="1" applyAlignment="1">
      <alignment vertical="center"/>
    </xf>
    <xf numFmtId="166" fontId="16" fillId="0" borderId="13" xfId="6" applyNumberFormat="1" applyFont="1" applyFill="1" applyBorder="1" applyAlignment="1">
      <alignment horizontal="center" vertical="center"/>
    </xf>
    <xf numFmtId="0" fontId="28" fillId="5" borderId="0" xfId="0" applyFont="1" applyFill="1"/>
    <xf numFmtId="0" fontId="10" fillId="5" borderId="0" xfId="0" applyFont="1" applyFill="1"/>
    <xf numFmtId="0" fontId="11" fillId="5" borderId="0" xfId="0" applyFont="1" applyFill="1"/>
    <xf numFmtId="0" fontId="29" fillId="5" borderId="0" xfId="7" applyFont="1" applyFill="1"/>
    <xf numFmtId="0" fontId="30" fillId="5" borderId="0" xfId="0" applyFont="1" applyFill="1"/>
    <xf numFmtId="17" fontId="11" fillId="5" borderId="0" xfId="0" applyNumberFormat="1" applyFont="1" applyFill="1" applyAlignment="1">
      <alignment horizontal="left"/>
    </xf>
    <xf numFmtId="17" fontId="11" fillId="0" borderId="0" xfId="0" applyNumberFormat="1" applyFont="1" applyFill="1" applyAlignment="1">
      <alignment horizontal="left"/>
    </xf>
    <xf numFmtId="14" fontId="11" fillId="5" borderId="0" xfId="0" applyNumberFormat="1" applyFont="1" applyFill="1" applyAlignment="1">
      <alignment horizontal="left"/>
    </xf>
    <xf numFmtId="0" fontId="16" fillId="0" borderId="5" xfId="6" applyFont="1" applyBorder="1" applyAlignment="1">
      <alignment horizontal="left"/>
    </xf>
    <xf numFmtId="0" fontId="14" fillId="0" borderId="0" xfId="4" applyFont="1"/>
    <xf numFmtId="0" fontId="14" fillId="0" borderId="0" xfId="4" applyFont="1" applyFill="1"/>
    <xf numFmtId="0" fontId="5" fillId="0" borderId="4" xfId="0" applyFont="1" applyBorder="1" applyAlignment="1">
      <alignment horizontal="center"/>
    </xf>
    <xf numFmtId="0" fontId="26" fillId="0" borderId="4" xfId="0" applyFont="1" applyBorder="1" applyAlignment="1">
      <alignment horizontal="center" wrapText="1"/>
    </xf>
    <xf numFmtId="0" fontId="14" fillId="0" borderId="4" xfId="0" applyFont="1" applyBorder="1" applyAlignment="1">
      <alignment horizontal="center"/>
    </xf>
    <xf numFmtId="0" fontId="5" fillId="0" borderId="0" xfId="0" applyFont="1"/>
    <xf numFmtId="0" fontId="5" fillId="0" borderId="0" xfId="0" applyFont="1" applyBorder="1"/>
    <xf numFmtId="2"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4"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7" xfId="0" applyFont="1" applyFill="1" applyBorder="1" applyAlignment="1">
      <alignment horizontal="center"/>
    </xf>
    <xf numFmtId="0" fontId="5" fillId="2" borderId="10" xfId="0" applyFont="1" applyFill="1" applyBorder="1" applyAlignment="1">
      <alignment horizontal="center"/>
    </xf>
    <xf numFmtId="0" fontId="5" fillId="3" borderId="4" xfId="0" applyFont="1" applyFill="1" applyBorder="1" applyAlignment="1">
      <alignment horizontal="center"/>
    </xf>
    <xf numFmtId="0" fontId="5" fillId="2" borderId="10" xfId="0" applyFont="1" applyFill="1" applyBorder="1"/>
    <xf numFmtId="0" fontId="5" fillId="2" borderId="11" xfId="0" applyFont="1" applyFill="1" applyBorder="1"/>
    <xf numFmtId="2" fontId="5" fillId="0" borderId="0" xfId="0" applyNumberFormat="1" applyFont="1" applyFill="1" applyBorder="1" applyAlignment="1">
      <alignment horizontal="left" vertical="center"/>
    </xf>
    <xf numFmtId="166" fontId="5" fillId="0" borderId="0" xfId="0" applyNumberFormat="1" applyFont="1" applyFill="1" applyBorder="1" applyAlignment="1">
      <alignment horizontal="center" vertical="center"/>
    </xf>
    <xf numFmtId="2" fontId="5" fillId="3" borderId="4" xfId="0" applyNumberFormat="1" applyFont="1" applyFill="1" applyBorder="1" applyAlignment="1">
      <alignment horizontal="center"/>
    </xf>
    <xf numFmtId="2" fontId="5" fillId="0" borderId="0" xfId="0" applyNumberFormat="1" applyFont="1" applyFill="1" applyBorder="1" applyAlignment="1">
      <alignment horizontal="left" vertical="center" wrapText="1"/>
    </xf>
    <xf numFmtId="0" fontId="13" fillId="0" borderId="0" xfId="0" applyFont="1" applyAlignment="1">
      <alignment horizontal="right"/>
    </xf>
    <xf numFmtId="2" fontId="5" fillId="0" borderId="4" xfId="0" applyNumberFormat="1" applyFont="1" applyFill="1" applyBorder="1" applyAlignment="1">
      <alignment horizontal="center"/>
    </xf>
    <xf numFmtId="1" fontId="5" fillId="0" borderId="0" xfId="0" applyNumberFormat="1" applyFont="1" applyBorder="1"/>
    <xf numFmtId="2" fontId="5" fillId="0" borderId="0" xfId="0" applyNumberFormat="1" applyFont="1" applyFill="1" applyBorder="1" applyAlignment="1">
      <alignment horizontal="center"/>
    </xf>
    <xf numFmtId="2" fontId="5" fillId="0" borderId="4" xfId="0" applyNumberFormat="1" applyFont="1" applyBorder="1" applyAlignment="1">
      <alignment horizontal="center" vertical="center"/>
    </xf>
    <xf numFmtId="0" fontId="5" fillId="2" borderId="0" xfId="0" applyFont="1" applyFill="1" applyBorder="1"/>
    <xf numFmtId="0" fontId="5" fillId="2" borderId="5" xfId="0" applyFont="1" applyFill="1" applyBorder="1"/>
    <xf numFmtId="0" fontId="5" fillId="0" borderId="0" xfId="0" applyFont="1" applyFill="1" applyBorder="1"/>
    <xf numFmtId="1" fontId="13" fillId="0" borderId="0" xfId="0" applyNumberFormat="1" applyFont="1" applyBorder="1"/>
    <xf numFmtId="1" fontId="5" fillId="0" borderId="0" xfId="0" applyNumberFormat="1" applyFont="1" applyFill="1"/>
    <xf numFmtId="2" fontId="5" fillId="0" borderId="0" xfId="0" applyNumberFormat="1" applyFont="1" applyFill="1"/>
    <xf numFmtId="2" fontId="5" fillId="0" borderId="0" xfId="0" applyNumberFormat="1" applyFont="1"/>
    <xf numFmtId="2" fontId="5" fillId="0" borderId="0" xfId="0" applyNumberFormat="1" applyFont="1" applyBorder="1"/>
    <xf numFmtId="0" fontId="5" fillId="0" borderId="0" xfId="0" applyFont="1" applyAlignment="1">
      <alignment wrapText="1"/>
    </xf>
    <xf numFmtId="0" fontId="5" fillId="0" borderId="0" xfId="0" applyFont="1" applyBorder="1" applyAlignment="1">
      <alignment horizontal="right"/>
    </xf>
    <xf numFmtId="164" fontId="5" fillId="0" borderId="0" xfId="0" applyNumberFormat="1" applyFont="1" applyBorder="1"/>
    <xf numFmtId="164" fontId="5" fillId="0" borderId="0" xfId="5" applyNumberFormat="1" applyFont="1"/>
    <xf numFmtId="166" fontId="5" fillId="0" borderId="0" xfId="0" applyNumberFormat="1" applyFont="1" applyBorder="1"/>
    <xf numFmtId="166" fontId="5" fillId="0" borderId="0" xfId="0" applyNumberFormat="1" applyFont="1"/>
    <xf numFmtId="1" fontId="5" fillId="0" borderId="0" xfId="0" applyNumberFormat="1" applyFont="1"/>
    <xf numFmtId="0" fontId="12" fillId="0" borderId="2" xfId="0" applyFont="1" applyFill="1" applyBorder="1" applyAlignment="1">
      <alignment horizontal="left"/>
    </xf>
    <xf numFmtId="43" fontId="12" fillId="0" borderId="0" xfId="8" applyFont="1" applyFill="1"/>
    <xf numFmtId="2" fontId="5" fillId="0" borderId="0" xfId="0" applyNumberFormat="1" applyFont="1" applyFill="1" applyBorder="1" applyAlignment="1">
      <alignment horizontal="right" vertical="center"/>
    </xf>
    <xf numFmtId="0" fontId="5" fillId="0" borderId="0" xfId="0" applyFont="1" applyFill="1" applyAlignment="1">
      <alignment horizontal="right"/>
    </xf>
    <xf numFmtId="0" fontId="4" fillId="0" borderId="0" xfId="0" applyFont="1"/>
    <xf numFmtId="0" fontId="31" fillId="0" borderId="0" xfId="0" applyFont="1" applyFill="1"/>
    <xf numFmtId="0" fontId="32" fillId="0" borderId="0" xfId="0" applyFont="1" applyFill="1" applyBorder="1" applyAlignment="1">
      <alignment horizontal="center" wrapText="1"/>
    </xf>
    <xf numFmtId="2" fontId="31" fillId="0" borderId="0" xfId="0" applyNumberFormat="1" applyFont="1" applyFill="1" applyBorder="1" applyAlignment="1">
      <alignment horizontal="center"/>
    </xf>
    <xf numFmtId="0" fontId="33" fillId="0" borderId="0" xfId="0" applyFont="1" applyFill="1"/>
    <xf numFmtId="0" fontId="3" fillId="0" borderId="0" xfId="0" applyFont="1" applyAlignment="1">
      <alignment horizontal="right"/>
    </xf>
    <xf numFmtId="0" fontId="4" fillId="0" borderId="0" xfId="0" applyFont="1" applyAlignment="1">
      <alignment horizontal="right"/>
    </xf>
    <xf numFmtId="0" fontId="5" fillId="0" borderId="0" xfId="0" applyFont="1" applyBorder="1" applyAlignment="1">
      <alignment horizontal="center"/>
    </xf>
    <xf numFmtId="0" fontId="5" fillId="0" borderId="0" xfId="3" applyFont="1" applyFill="1" applyBorder="1"/>
    <xf numFmtId="0" fontId="2" fillId="0" borderId="0" xfId="0" applyFont="1" applyBorder="1" applyAlignment="1">
      <alignment horizontal="left"/>
    </xf>
    <xf numFmtId="0" fontId="2" fillId="0" borderId="0" xfId="0" applyFont="1" applyFill="1"/>
    <xf numFmtId="0" fontId="5" fillId="0" borderId="0" xfId="3" applyFont="1" applyFill="1" applyBorder="1" applyAlignment="1">
      <alignment horizontal="right"/>
    </xf>
    <xf numFmtId="0" fontId="8" fillId="0" borderId="0" xfId="3" applyFont="1" applyFill="1" applyBorder="1"/>
    <xf numFmtId="0" fontId="16" fillId="0" borderId="13" xfId="6" applyFont="1" applyBorder="1" applyAlignment="1">
      <alignment horizontal="center"/>
    </xf>
    <xf numFmtId="0" fontId="14" fillId="0" borderId="0" xfId="4" applyFont="1" applyBorder="1"/>
    <xf numFmtId="0" fontId="5" fillId="3" borderId="4" xfId="3" applyFont="1" applyFill="1" applyBorder="1"/>
    <xf numFmtId="0" fontId="13" fillId="0" borderId="0" xfId="0" applyFont="1" applyFill="1" applyAlignment="1">
      <alignment vertical="top" wrapText="1"/>
    </xf>
    <xf numFmtId="0" fontId="1" fillId="3" borderId="1" xfId="0" applyFont="1" applyFill="1" applyBorder="1" applyAlignment="1"/>
    <xf numFmtId="0" fontId="12" fillId="3" borderId="2" xfId="0" applyFont="1" applyFill="1" applyBorder="1" applyAlignment="1"/>
    <xf numFmtId="0" fontId="12" fillId="3" borderId="3" xfId="0" applyFont="1" applyFill="1" applyBorder="1" applyAlignment="1"/>
    <xf numFmtId="0" fontId="5" fillId="0" borderId="0" xfId="0" applyFont="1" applyAlignment="1">
      <alignment vertical="top" wrapText="1"/>
    </xf>
    <xf numFmtId="0" fontId="16" fillId="5" borderId="0" xfId="6" applyFont="1" applyFill="1" applyBorder="1" applyAlignment="1">
      <alignment horizontal="left" wrapText="1"/>
    </xf>
  </cellXfs>
  <cellStyles count="9">
    <cellStyle name="Comma" xfId="8" builtinId="3"/>
    <cellStyle name="Headers" xfId="2"/>
    <cellStyle name="Hyperlink" xfId="7" builtinId="8"/>
    <cellStyle name="Normal" xfId="0" builtinId="0"/>
    <cellStyle name="Normal 2" xfId="4"/>
    <cellStyle name="Normal 3" xfId="6"/>
    <cellStyle name="Percent" xfId="5" builtinId="5"/>
    <cellStyle name="Style 1" xfId="1"/>
    <cellStyle name="Sub-header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2</xdr:col>
      <xdr:colOff>85725</xdr:colOff>
      <xdr:row>3</xdr:row>
      <xdr:rowOff>123825</xdr:rowOff>
    </xdr:to>
    <xdr:pic>
      <xdr:nvPicPr>
        <xdr:cNvPr id="2" name="Picture 1" descr="DfT_3298_SML_AW[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A7" zoomScaleNormal="100" workbookViewId="0">
      <selection activeCell="C15" sqref="C15"/>
    </sheetView>
  </sheetViews>
  <sheetFormatPr defaultColWidth="0" defaultRowHeight="12.75" zeroHeight="1" x14ac:dyDescent="0.2"/>
  <cols>
    <col min="1" max="1" width="3.28515625" style="118" customWidth="1"/>
    <col min="2" max="2" width="11.42578125" style="118" customWidth="1"/>
    <col min="3" max="17" width="9.140625" style="118" customWidth="1"/>
    <col min="18" max="16384" width="9.140625" style="118" hidden="1"/>
  </cols>
  <sheetData>
    <row r="1" spans="2:3" x14ac:dyDescent="0.2"/>
    <row r="2" spans="2:3" x14ac:dyDescent="0.2"/>
    <row r="3" spans="2:3" x14ac:dyDescent="0.2"/>
    <row r="4" spans="2:3" x14ac:dyDescent="0.2"/>
    <row r="5" spans="2:3" x14ac:dyDescent="0.2">
      <c r="B5" s="117"/>
    </row>
    <row r="6" spans="2:3" s="2" customFormat="1" ht="18.75" x14ac:dyDescent="0.3">
      <c r="B6" s="2" t="s">
        <v>633</v>
      </c>
    </row>
    <row r="7" spans="2:3" x14ac:dyDescent="0.2"/>
    <row r="8" spans="2:3" s="5" customFormat="1" ht="15.75" x14ac:dyDescent="0.25">
      <c r="B8" s="5" t="s">
        <v>634</v>
      </c>
    </row>
    <row r="9" spans="2:3" x14ac:dyDescent="0.2">
      <c r="B9" s="119" t="s">
        <v>718</v>
      </c>
    </row>
    <row r="10" spans="2:3" x14ac:dyDescent="0.2"/>
    <row r="11" spans="2:3" s="5" customFormat="1" ht="15.75" x14ac:dyDescent="0.25">
      <c r="B11" s="5" t="s">
        <v>635</v>
      </c>
    </row>
    <row r="12" spans="2:3" x14ac:dyDescent="0.2">
      <c r="B12" s="119" t="s">
        <v>719</v>
      </c>
    </row>
    <row r="13" spans="2:3" x14ac:dyDescent="0.2">
      <c r="B13" s="119"/>
    </row>
    <row r="14" spans="2:3" x14ac:dyDescent="0.2">
      <c r="B14" s="119" t="s">
        <v>721</v>
      </c>
    </row>
    <row r="15" spans="2:3" x14ac:dyDescent="0.2">
      <c r="B15" s="119">
        <v>1</v>
      </c>
      <c r="C15" s="119" t="s">
        <v>722</v>
      </c>
    </row>
    <row r="16" spans="2:3" x14ac:dyDescent="0.2">
      <c r="B16" s="119">
        <v>2</v>
      </c>
      <c r="C16" s="119" t="s">
        <v>723</v>
      </c>
    </row>
    <row r="17" spans="2:3" x14ac:dyDescent="0.2">
      <c r="B17" s="119">
        <v>3</v>
      </c>
      <c r="C17" s="119" t="s">
        <v>726</v>
      </c>
    </row>
    <row r="18" spans="2:3" x14ac:dyDescent="0.2">
      <c r="B18" s="119">
        <v>4</v>
      </c>
      <c r="C18" s="119" t="s">
        <v>724</v>
      </c>
    </row>
    <row r="19" spans="2:3" x14ac:dyDescent="0.2">
      <c r="B19" s="119">
        <v>5</v>
      </c>
      <c r="C19" s="119" t="s">
        <v>725</v>
      </c>
    </row>
    <row r="20" spans="2:3" x14ac:dyDescent="0.2">
      <c r="B20" s="119"/>
    </row>
    <row r="21" spans="2:3" x14ac:dyDescent="0.2">
      <c r="B21" s="119" t="s">
        <v>727</v>
      </c>
    </row>
    <row r="22" spans="2:3" x14ac:dyDescent="0.2">
      <c r="B22" s="119"/>
    </row>
    <row r="23" spans="2:3" x14ac:dyDescent="0.2">
      <c r="B23" s="119">
        <v>1</v>
      </c>
      <c r="C23" s="119" t="s">
        <v>2</v>
      </c>
    </row>
    <row r="24" spans="2:3" x14ac:dyDescent="0.2">
      <c r="B24" s="119">
        <v>2</v>
      </c>
      <c r="C24" s="119" t="s">
        <v>728</v>
      </c>
    </row>
    <row r="25" spans="2:3" x14ac:dyDescent="0.2">
      <c r="B25" s="119">
        <v>3</v>
      </c>
      <c r="C25" s="119" t="s">
        <v>729</v>
      </c>
    </row>
    <row r="26" spans="2:3" x14ac:dyDescent="0.2">
      <c r="B26" s="119">
        <v>4</v>
      </c>
      <c r="C26" s="119" t="s">
        <v>730</v>
      </c>
    </row>
    <row r="27" spans="2:3" x14ac:dyDescent="0.2">
      <c r="B27" s="119">
        <v>5</v>
      </c>
      <c r="C27" s="119" t="s">
        <v>731</v>
      </c>
    </row>
    <row r="28" spans="2:3" x14ac:dyDescent="0.2">
      <c r="B28" s="119">
        <v>6</v>
      </c>
      <c r="C28" s="119" t="s">
        <v>734</v>
      </c>
    </row>
    <row r="29" spans="2:3" x14ac:dyDescent="0.2">
      <c r="B29" s="119">
        <v>7</v>
      </c>
      <c r="C29" s="119" t="s">
        <v>732</v>
      </c>
    </row>
    <row r="30" spans="2:3" x14ac:dyDescent="0.2">
      <c r="C30" s="119" t="s">
        <v>735</v>
      </c>
    </row>
    <row r="31" spans="2:3" x14ac:dyDescent="0.2">
      <c r="B31" s="119">
        <v>8</v>
      </c>
      <c r="C31" s="119" t="s">
        <v>733</v>
      </c>
    </row>
    <row r="32" spans="2:3" x14ac:dyDescent="0.2">
      <c r="B32" s="119"/>
      <c r="C32" s="119" t="s">
        <v>735</v>
      </c>
    </row>
    <row r="33" spans="2:3" x14ac:dyDescent="0.2">
      <c r="B33" s="119">
        <v>9</v>
      </c>
      <c r="C33" s="119" t="s">
        <v>736</v>
      </c>
    </row>
    <row r="34" spans="2:3" x14ac:dyDescent="0.2">
      <c r="B34" s="119"/>
    </row>
    <row r="35" spans="2:3" x14ac:dyDescent="0.2">
      <c r="B35" s="119" t="s">
        <v>737</v>
      </c>
      <c r="C35" s="119"/>
    </row>
    <row r="36" spans="2:3" x14ac:dyDescent="0.2">
      <c r="B36" s="119"/>
      <c r="C36" s="119"/>
    </row>
    <row r="37" spans="2:3" x14ac:dyDescent="0.2">
      <c r="B37" s="119">
        <v>1</v>
      </c>
      <c r="C37" s="119" t="s">
        <v>742</v>
      </c>
    </row>
    <row r="38" spans="2:3" x14ac:dyDescent="0.2">
      <c r="B38" s="119">
        <v>2</v>
      </c>
      <c r="C38" s="119" t="s">
        <v>738</v>
      </c>
    </row>
    <row r="39" spans="2:3" x14ac:dyDescent="0.2">
      <c r="B39" s="119">
        <v>3</v>
      </c>
      <c r="C39" s="119" t="s">
        <v>739</v>
      </c>
    </row>
    <row r="40" spans="2:3" x14ac:dyDescent="0.2">
      <c r="B40" s="119">
        <v>4</v>
      </c>
      <c r="C40" s="119" t="s">
        <v>740</v>
      </c>
    </row>
    <row r="41" spans="2:3" x14ac:dyDescent="0.2">
      <c r="B41" s="119">
        <v>5</v>
      </c>
      <c r="C41" s="119" t="s">
        <v>741</v>
      </c>
    </row>
    <row r="42" spans="2:3" x14ac:dyDescent="0.2">
      <c r="B42" s="119">
        <v>6</v>
      </c>
      <c r="C42" s="119" t="s">
        <v>743</v>
      </c>
    </row>
    <row r="43" spans="2:3" x14ac:dyDescent="0.2">
      <c r="B43" s="119"/>
    </row>
    <row r="44" spans="2:3" x14ac:dyDescent="0.2">
      <c r="B44" s="119" t="s">
        <v>744</v>
      </c>
    </row>
    <row r="45" spans="2:3" x14ac:dyDescent="0.2">
      <c r="B45" s="119"/>
    </row>
    <row r="46" spans="2:3" s="5" customFormat="1" ht="15.75" x14ac:dyDescent="0.25">
      <c r="B46" s="5" t="s">
        <v>636</v>
      </c>
    </row>
    <row r="47" spans="2:3" x14ac:dyDescent="0.2">
      <c r="B47" s="121" t="s">
        <v>637</v>
      </c>
      <c r="C47" s="121" t="s">
        <v>638</v>
      </c>
    </row>
    <row r="48" spans="2:3" x14ac:dyDescent="0.2">
      <c r="B48" s="122">
        <v>42064</v>
      </c>
      <c r="C48" s="119" t="s">
        <v>720</v>
      </c>
    </row>
    <row r="49" spans="2:3" x14ac:dyDescent="0.2">
      <c r="B49" s="122">
        <v>41944</v>
      </c>
      <c r="C49" s="119" t="s">
        <v>639</v>
      </c>
    </row>
    <row r="50" spans="2:3" x14ac:dyDescent="0.2">
      <c r="B50" s="123">
        <v>41760</v>
      </c>
      <c r="C50" s="119" t="s">
        <v>640</v>
      </c>
    </row>
    <row r="51" spans="2:3" x14ac:dyDescent="0.2">
      <c r="B51" s="122">
        <v>41640</v>
      </c>
      <c r="C51" s="119" t="s">
        <v>641</v>
      </c>
    </row>
    <row r="52" spans="2:3" x14ac:dyDescent="0.2">
      <c r="B52" s="124">
        <v>41564</v>
      </c>
      <c r="C52" s="119" t="s">
        <v>642</v>
      </c>
    </row>
    <row r="53" spans="2:3" x14ac:dyDescent="0.2"/>
    <row r="54" spans="2:3" s="5" customFormat="1" ht="15.75" x14ac:dyDescent="0.25">
      <c r="B54" s="5" t="s">
        <v>643</v>
      </c>
    </row>
    <row r="55" spans="2:3" x14ac:dyDescent="0.2">
      <c r="B55" s="119" t="s">
        <v>644</v>
      </c>
    </row>
    <row r="56" spans="2:3" x14ac:dyDescent="0.2">
      <c r="B56" s="119" t="s">
        <v>645</v>
      </c>
    </row>
    <row r="57" spans="2:3" x14ac:dyDescent="0.2">
      <c r="B57" s="119" t="s">
        <v>646</v>
      </c>
    </row>
    <row r="58" spans="2:3" x14ac:dyDescent="0.2">
      <c r="B58" s="119" t="s">
        <v>647</v>
      </c>
    </row>
    <row r="59" spans="2:3" x14ac:dyDescent="0.2">
      <c r="B59" s="119" t="s">
        <v>648</v>
      </c>
    </row>
    <row r="60" spans="2:3" x14ac:dyDescent="0.2">
      <c r="B60" s="119" t="s">
        <v>649</v>
      </c>
    </row>
    <row r="61" spans="2:3" x14ac:dyDescent="0.2">
      <c r="B61" s="120" t="s">
        <v>650</v>
      </c>
    </row>
    <row r="62" spans="2:3" x14ac:dyDescent="0.2"/>
    <row r="63" spans="2:3" hidden="1" x14ac:dyDescent="0.2"/>
    <row r="64" spans="2:3" hidden="1" x14ac:dyDescent="0.2"/>
    <row r="65" hidden="1" x14ac:dyDescent="0.2"/>
    <row r="66" x14ac:dyDescent="0.2"/>
  </sheetData>
  <hyperlinks>
    <hyperlink ref="B6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77"/>
  <sheetViews>
    <sheetView showGridLines="0" zoomScale="80" zoomScaleNormal="80" workbookViewId="0">
      <selection activeCell="C22" sqref="C22"/>
    </sheetView>
  </sheetViews>
  <sheetFormatPr defaultColWidth="0" defaultRowHeight="15" zeroHeight="1" x14ac:dyDescent="0.25"/>
  <cols>
    <col min="1" max="1" width="9.140625" style="85" customWidth="1"/>
    <col min="2" max="2" width="27.140625" style="85" customWidth="1"/>
    <col min="3" max="3" width="15" style="85" customWidth="1"/>
    <col min="4" max="4" width="10.7109375" style="85" customWidth="1"/>
    <col min="5" max="94" width="9.140625" style="85" customWidth="1"/>
    <col min="95" max="95" width="28.42578125" style="85" bestFit="1" customWidth="1"/>
    <col min="96" max="96" width="0" style="85" hidden="1" customWidth="1"/>
    <col min="97" max="16384" width="9.140625" style="85" hidden="1"/>
  </cols>
  <sheetData>
    <row r="1" spans="2:9" x14ac:dyDescent="0.25"/>
    <row r="2" spans="2:9" s="1" customFormat="1" ht="26.25" x14ac:dyDescent="0.4">
      <c r="B2" s="1" t="s">
        <v>0</v>
      </c>
    </row>
    <row r="3" spans="2:9" x14ac:dyDescent="0.25"/>
    <row r="4" spans="2:9" s="2" customFormat="1" ht="18.75" x14ac:dyDescent="0.3">
      <c r="B4" s="2" t="s">
        <v>1</v>
      </c>
    </row>
    <row r="5" spans="2:9" ht="15" customHeight="1" x14ac:dyDescent="0.25"/>
    <row r="6" spans="2:9" ht="15" customHeight="1" x14ac:dyDescent="0.25">
      <c r="B6" s="85" t="s">
        <v>2</v>
      </c>
      <c r="D6" s="188" t="s">
        <v>836</v>
      </c>
      <c r="E6" s="189"/>
      <c r="F6" s="189"/>
      <c r="G6" s="189"/>
      <c r="H6" s="190"/>
      <c r="I6" s="28" t="s">
        <v>626</v>
      </c>
    </row>
    <row r="7" spans="2:9" ht="15" customHeight="1" x14ac:dyDescent="0.25">
      <c r="B7" s="85" t="s">
        <v>3</v>
      </c>
      <c r="D7" s="76">
        <v>2026</v>
      </c>
      <c r="E7" s="28" t="s">
        <v>4</v>
      </c>
      <c r="F7" s="28"/>
    </row>
    <row r="8" spans="2:9" ht="15" customHeight="1" x14ac:dyDescent="0.25">
      <c r="B8" s="85" t="s">
        <v>5</v>
      </c>
      <c r="D8" s="76">
        <v>2036</v>
      </c>
      <c r="E8" s="28" t="s">
        <v>6</v>
      </c>
      <c r="F8" s="28"/>
    </row>
    <row r="9" spans="2:9" ht="15" customHeight="1" x14ac:dyDescent="0.25">
      <c r="B9" s="85" t="s">
        <v>7</v>
      </c>
      <c r="D9" s="76" t="s">
        <v>578</v>
      </c>
      <c r="E9" s="28" t="s">
        <v>104</v>
      </c>
      <c r="F9" s="28"/>
    </row>
    <row r="10" spans="2:9" ht="15" customHeight="1" x14ac:dyDescent="0.25">
      <c r="B10" s="85" t="s">
        <v>9</v>
      </c>
      <c r="D10" s="76">
        <v>2017</v>
      </c>
      <c r="E10" s="28" t="s">
        <v>10</v>
      </c>
      <c r="F10" s="28"/>
    </row>
    <row r="11" spans="2:9" ht="15" customHeight="1" x14ac:dyDescent="0.25"/>
    <row r="12" spans="2:9" s="5" customFormat="1" ht="15.75" x14ac:dyDescent="0.25">
      <c r="B12" s="5" t="s">
        <v>12</v>
      </c>
    </row>
    <row r="13" spans="2:9" s="9" customFormat="1" ht="15" customHeight="1" x14ac:dyDescent="0.25"/>
    <row r="14" spans="2:9" s="9" customFormat="1" ht="15" customHeight="1" x14ac:dyDescent="0.25">
      <c r="B14" s="87" t="s">
        <v>579</v>
      </c>
      <c r="D14" s="76" t="s">
        <v>577</v>
      </c>
      <c r="E14" s="88" t="s">
        <v>582</v>
      </c>
    </row>
    <row r="15" spans="2:9" s="9" customFormat="1" ht="15" customHeight="1" x14ac:dyDescent="0.25">
      <c r="B15" s="88" t="s">
        <v>717</v>
      </c>
      <c r="D15" s="167"/>
      <c r="E15" s="88"/>
    </row>
    <row r="16" spans="2:9" s="9" customFormat="1" ht="15" customHeight="1" x14ac:dyDescent="0.25">
      <c r="B16" s="89" t="s">
        <v>631</v>
      </c>
      <c r="D16" s="76" t="s">
        <v>577</v>
      </c>
      <c r="E16" s="88" t="s">
        <v>571</v>
      </c>
    </row>
    <row r="17" spans="2:18" s="9" customFormat="1" ht="15" customHeight="1" x14ac:dyDescent="0.25">
      <c r="B17" s="88" t="s">
        <v>716</v>
      </c>
    </row>
    <row r="18" spans="2:18" s="9" customFormat="1" ht="15" customHeight="1" x14ac:dyDescent="0.25"/>
    <row r="19" spans="2:18" s="5" customFormat="1" ht="15.75" x14ac:dyDescent="0.25">
      <c r="B19" s="5" t="s">
        <v>13</v>
      </c>
    </row>
    <row r="20" spans="2:18" s="27" customFormat="1" ht="15" customHeight="1" x14ac:dyDescent="0.25"/>
    <row r="21" spans="2:18" s="27" customFormat="1" ht="15" customHeight="1" x14ac:dyDescent="0.25">
      <c r="B21" s="90" t="s">
        <v>14</v>
      </c>
      <c r="C21" s="91" t="s">
        <v>15</v>
      </c>
      <c r="D21" s="92" t="s">
        <v>16</v>
      </c>
      <c r="E21" s="90" t="s">
        <v>17</v>
      </c>
      <c r="F21" s="90" t="s">
        <v>18</v>
      </c>
      <c r="G21" s="90" t="s">
        <v>19</v>
      </c>
      <c r="H21" s="90" t="s">
        <v>20</v>
      </c>
      <c r="I21" s="90" t="s">
        <v>21</v>
      </c>
      <c r="J21" s="90" t="s">
        <v>22</v>
      </c>
      <c r="K21" s="90" t="s">
        <v>23</v>
      </c>
      <c r="L21" s="90" t="s">
        <v>24</v>
      </c>
      <c r="M21" s="90" t="s">
        <v>25</v>
      </c>
      <c r="N21" s="90" t="s">
        <v>26</v>
      </c>
      <c r="O21" s="90" t="s">
        <v>27</v>
      </c>
      <c r="P21" s="90" t="s">
        <v>28</v>
      </c>
      <c r="Q21" s="90" t="s">
        <v>29</v>
      </c>
    </row>
    <row r="22" spans="2:18" s="27" customFormat="1" ht="15" customHeight="1" x14ac:dyDescent="0.25">
      <c r="B22" s="91" t="s">
        <v>30</v>
      </c>
      <c r="C22" s="77"/>
      <c r="D22" s="110"/>
      <c r="E22" s="110"/>
      <c r="F22" s="110"/>
      <c r="G22" s="110"/>
      <c r="H22" s="110"/>
      <c r="I22" s="110"/>
      <c r="J22" s="110"/>
      <c r="K22" s="110"/>
      <c r="L22" s="110"/>
      <c r="M22" s="110"/>
      <c r="N22" s="110"/>
      <c r="O22" s="110"/>
      <c r="P22" s="110"/>
      <c r="Q22" s="111"/>
    </row>
    <row r="23" spans="2:18" s="27" customFormat="1" ht="15" customHeight="1" x14ac:dyDescent="0.25">
      <c r="B23" s="92" t="s">
        <v>16</v>
      </c>
      <c r="C23" s="75"/>
      <c r="D23" s="112">
        <v>14</v>
      </c>
      <c r="E23" s="112">
        <v>125</v>
      </c>
      <c r="F23" s="112">
        <v>61</v>
      </c>
      <c r="G23" s="112">
        <v>0</v>
      </c>
      <c r="H23" s="112">
        <v>0</v>
      </c>
      <c r="I23" s="112">
        <v>1</v>
      </c>
      <c r="J23" s="112">
        <v>0</v>
      </c>
      <c r="K23" s="112">
        <v>0</v>
      </c>
      <c r="L23" s="112">
        <v>0</v>
      </c>
      <c r="M23" s="112">
        <v>0</v>
      </c>
      <c r="N23" s="112">
        <v>0</v>
      </c>
      <c r="O23" s="112">
        <v>0</v>
      </c>
      <c r="P23" s="112">
        <v>0</v>
      </c>
      <c r="Q23" s="112">
        <v>0</v>
      </c>
      <c r="R23" s="26" t="s">
        <v>31</v>
      </c>
    </row>
    <row r="24" spans="2:18" s="27" customFormat="1" ht="15" customHeight="1" x14ac:dyDescent="0.25">
      <c r="B24" s="90" t="s">
        <v>17</v>
      </c>
      <c r="C24" s="75"/>
      <c r="D24" s="112">
        <v>0</v>
      </c>
      <c r="E24" s="112">
        <v>181</v>
      </c>
      <c r="F24" s="112">
        <v>910</v>
      </c>
      <c r="G24" s="112">
        <v>40</v>
      </c>
      <c r="H24" s="112">
        <v>58</v>
      </c>
      <c r="I24" s="112">
        <v>33</v>
      </c>
      <c r="J24" s="112">
        <v>4</v>
      </c>
      <c r="K24" s="112">
        <v>0</v>
      </c>
      <c r="L24" s="112">
        <v>0</v>
      </c>
      <c r="M24" s="112">
        <v>0</v>
      </c>
      <c r="N24" s="112">
        <v>0</v>
      </c>
      <c r="O24" s="112">
        <v>0</v>
      </c>
      <c r="P24" s="112">
        <v>0</v>
      </c>
      <c r="Q24" s="112">
        <v>0</v>
      </c>
      <c r="R24" s="26" t="s">
        <v>32</v>
      </c>
    </row>
    <row r="25" spans="2:18" s="27" customFormat="1" ht="15" customHeight="1" x14ac:dyDescent="0.25">
      <c r="B25" s="90" t="s">
        <v>18</v>
      </c>
      <c r="C25" s="75"/>
      <c r="D25" s="112">
        <v>0</v>
      </c>
      <c r="E25" s="112">
        <v>0</v>
      </c>
      <c r="F25" s="112">
        <v>357</v>
      </c>
      <c r="G25" s="112">
        <v>1290</v>
      </c>
      <c r="H25" s="112">
        <v>162</v>
      </c>
      <c r="I25" s="112">
        <v>9</v>
      </c>
      <c r="J25" s="112">
        <v>4</v>
      </c>
      <c r="K25" s="112">
        <v>1</v>
      </c>
      <c r="L25" s="112">
        <v>0</v>
      </c>
      <c r="M25" s="112">
        <v>1</v>
      </c>
      <c r="N25" s="112">
        <v>0</v>
      </c>
      <c r="O25" s="112">
        <v>0</v>
      </c>
      <c r="P25" s="112">
        <v>0</v>
      </c>
      <c r="Q25" s="112">
        <v>0</v>
      </c>
      <c r="R25" s="26" t="s">
        <v>33</v>
      </c>
    </row>
    <row r="26" spans="2:18" s="27" customFormat="1" ht="15" customHeight="1" x14ac:dyDescent="0.25">
      <c r="B26" s="90" t="s">
        <v>19</v>
      </c>
      <c r="C26" s="75"/>
      <c r="D26" s="112">
        <v>0</v>
      </c>
      <c r="E26" s="112">
        <v>0</v>
      </c>
      <c r="F26" s="112">
        <v>2</v>
      </c>
      <c r="G26" s="112">
        <v>720</v>
      </c>
      <c r="H26" s="112">
        <v>923</v>
      </c>
      <c r="I26" s="112">
        <v>78</v>
      </c>
      <c r="J26" s="112">
        <v>26</v>
      </c>
      <c r="K26" s="112">
        <v>15</v>
      </c>
      <c r="L26" s="112">
        <v>9</v>
      </c>
      <c r="M26" s="112">
        <v>3</v>
      </c>
      <c r="N26" s="112">
        <v>2</v>
      </c>
      <c r="O26" s="112">
        <v>4</v>
      </c>
      <c r="P26" s="112">
        <v>0</v>
      </c>
      <c r="Q26" s="112">
        <v>0</v>
      </c>
      <c r="R26" s="26" t="s">
        <v>34</v>
      </c>
    </row>
    <row r="27" spans="2:18" s="27" customFormat="1" ht="15" customHeight="1" x14ac:dyDescent="0.25">
      <c r="B27" s="90" t="s">
        <v>20</v>
      </c>
      <c r="C27" s="75"/>
      <c r="D27" s="112">
        <v>0</v>
      </c>
      <c r="E27" s="112">
        <v>0</v>
      </c>
      <c r="F27" s="112">
        <v>0</v>
      </c>
      <c r="G27" s="112">
        <v>4</v>
      </c>
      <c r="H27" s="112">
        <v>526</v>
      </c>
      <c r="I27" s="112">
        <v>281</v>
      </c>
      <c r="J27" s="112">
        <v>14</v>
      </c>
      <c r="K27" s="112">
        <v>1</v>
      </c>
      <c r="L27" s="112">
        <v>4</v>
      </c>
      <c r="M27" s="112">
        <v>0</v>
      </c>
      <c r="N27" s="112">
        <v>0</v>
      </c>
      <c r="O27" s="112">
        <v>0</v>
      </c>
      <c r="P27" s="112">
        <v>0</v>
      </c>
      <c r="Q27" s="112">
        <v>0</v>
      </c>
      <c r="R27" s="26" t="s">
        <v>35</v>
      </c>
    </row>
    <row r="28" spans="2:18" s="27" customFormat="1" ht="15" customHeight="1" x14ac:dyDescent="0.25">
      <c r="B28" s="90" t="s">
        <v>21</v>
      </c>
      <c r="C28" s="75"/>
      <c r="D28" s="112">
        <v>0</v>
      </c>
      <c r="E28" s="112">
        <v>0</v>
      </c>
      <c r="F28" s="112">
        <v>0</v>
      </c>
      <c r="G28" s="112">
        <v>0</v>
      </c>
      <c r="H28" s="112">
        <v>17</v>
      </c>
      <c r="I28" s="112">
        <v>455</v>
      </c>
      <c r="J28" s="112">
        <v>158</v>
      </c>
      <c r="K28" s="112">
        <v>11</v>
      </c>
      <c r="L28" s="112">
        <v>1</v>
      </c>
      <c r="M28" s="112">
        <v>2</v>
      </c>
      <c r="N28" s="112">
        <v>0</v>
      </c>
      <c r="O28" s="112">
        <v>0</v>
      </c>
      <c r="P28" s="112">
        <v>0</v>
      </c>
      <c r="Q28" s="112">
        <v>0</v>
      </c>
      <c r="R28" s="26" t="s">
        <v>36</v>
      </c>
    </row>
    <row r="29" spans="2:18" s="27" customFormat="1" ht="15" customHeight="1" x14ac:dyDescent="0.25">
      <c r="B29" s="90" t="s">
        <v>22</v>
      </c>
      <c r="C29" s="75"/>
      <c r="D29" s="112">
        <v>0</v>
      </c>
      <c r="E29" s="112">
        <v>0</v>
      </c>
      <c r="F29" s="112">
        <v>0</v>
      </c>
      <c r="G29" s="112">
        <v>0</v>
      </c>
      <c r="H29" s="112">
        <v>0</v>
      </c>
      <c r="I29" s="112">
        <v>42</v>
      </c>
      <c r="J29" s="112">
        <v>177</v>
      </c>
      <c r="K29" s="112">
        <v>169</v>
      </c>
      <c r="L29" s="112">
        <v>38</v>
      </c>
      <c r="M29" s="112">
        <v>1</v>
      </c>
      <c r="N29" s="112">
        <v>0</v>
      </c>
      <c r="O29" s="112">
        <v>0</v>
      </c>
      <c r="P29" s="112">
        <v>0</v>
      </c>
      <c r="Q29" s="112">
        <v>0</v>
      </c>
      <c r="R29" s="26" t="s">
        <v>37</v>
      </c>
    </row>
    <row r="30" spans="2:18" s="27" customFormat="1" ht="15" customHeight="1" x14ac:dyDescent="0.25">
      <c r="B30" s="90" t="s">
        <v>23</v>
      </c>
      <c r="C30" s="75"/>
      <c r="D30" s="112">
        <v>0</v>
      </c>
      <c r="E30" s="112">
        <v>0</v>
      </c>
      <c r="F30" s="112">
        <v>0</v>
      </c>
      <c r="G30" s="112">
        <v>0</v>
      </c>
      <c r="H30" s="112">
        <v>0</v>
      </c>
      <c r="I30" s="112">
        <v>51</v>
      </c>
      <c r="J30" s="112">
        <v>10</v>
      </c>
      <c r="K30" s="112">
        <v>359</v>
      </c>
      <c r="L30" s="112">
        <v>135</v>
      </c>
      <c r="M30" s="112">
        <v>4</v>
      </c>
      <c r="N30" s="112">
        <v>0</v>
      </c>
      <c r="O30" s="112">
        <v>0</v>
      </c>
      <c r="P30" s="112">
        <v>0</v>
      </c>
      <c r="Q30" s="112">
        <v>0</v>
      </c>
      <c r="R30" s="26" t="s">
        <v>38</v>
      </c>
    </row>
    <row r="31" spans="2:18" ht="15" customHeight="1" x14ac:dyDescent="0.25">
      <c r="B31" s="90" t="s">
        <v>24</v>
      </c>
      <c r="C31" s="75"/>
      <c r="D31" s="112">
        <v>0</v>
      </c>
      <c r="E31" s="112">
        <v>0</v>
      </c>
      <c r="F31" s="112">
        <v>0</v>
      </c>
      <c r="G31" s="112">
        <v>0</v>
      </c>
      <c r="H31" s="112">
        <v>0</v>
      </c>
      <c r="I31" s="112">
        <v>0</v>
      </c>
      <c r="J31" s="112">
        <v>0</v>
      </c>
      <c r="K31" s="112">
        <v>44</v>
      </c>
      <c r="L31" s="112">
        <v>277</v>
      </c>
      <c r="M31" s="112">
        <v>27</v>
      </c>
      <c r="N31" s="112">
        <v>2</v>
      </c>
      <c r="O31" s="112">
        <v>0</v>
      </c>
      <c r="P31" s="112">
        <v>0</v>
      </c>
      <c r="Q31" s="112">
        <v>0</v>
      </c>
      <c r="R31" s="26" t="s">
        <v>39</v>
      </c>
    </row>
    <row r="32" spans="2:18" ht="15" customHeight="1" x14ac:dyDescent="0.25">
      <c r="B32" s="90" t="s">
        <v>25</v>
      </c>
      <c r="C32" s="75"/>
      <c r="D32" s="112">
        <v>0</v>
      </c>
      <c r="E32" s="112">
        <v>0</v>
      </c>
      <c r="F32" s="112">
        <v>0</v>
      </c>
      <c r="G32" s="112">
        <v>0</v>
      </c>
      <c r="H32" s="112">
        <v>0</v>
      </c>
      <c r="I32" s="112">
        <v>0</v>
      </c>
      <c r="J32" s="112">
        <v>0</v>
      </c>
      <c r="K32" s="112">
        <v>0</v>
      </c>
      <c r="L32" s="112">
        <v>29</v>
      </c>
      <c r="M32" s="112">
        <v>172</v>
      </c>
      <c r="N32" s="112">
        <v>34</v>
      </c>
      <c r="O32" s="112">
        <v>0</v>
      </c>
      <c r="P32" s="112">
        <v>0</v>
      </c>
      <c r="Q32" s="112">
        <v>0</v>
      </c>
      <c r="R32" s="26" t="s">
        <v>40</v>
      </c>
    </row>
    <row r="33" spans="2:96" ht="15" customHeight="1" x14ac:dyDescent="0.25">
      <c r="B33" s="90" t="s">
        <v>26</v>
      </c>
      <c r="C33" s="75"/>
      <c r="D33" s="112">
        <v>0</v>
      </c>
      <c r="E33" s="112">
        <v>0</v>
      </c>
      <c r="F33" s="112">
        <v>0</v>
      </c>
      <c r="G33" s="112">
        <v>0</v>
      </c>
      <c r="H33" s="112">
        <v>0</v>
      </c>
      <c r="I33" s="112">
        <v>0</v>
      </c>
      <c r="J33" s="112">
        <v>0</v>
      </c>
      <c r="K33" s="112">
        <v>0</v>
      </c>
      <c r="L33" s="112">
        <v>0</v>
      </c>
      <c r="M33" s="112">
        <v>38</v>
      </c>
      <c r="N33" s="112">
        <v>28</v>
      </c>
      <c r="O33" s="112">
        <v>7</v>
      </c>
      <c r="P33" s="112">
        <v>1</v>
      </c>
      <c r="Q33" s="112">
        <v>0</v>
      </c>
      <c r="R33" s="26" t="s">
        <v>41</v>
      </c>
    </row>
    <row r="34" spans="2:96" ht="15" customHeight="1" x14ac:dyDescent="0.25">
      <c r="B34" s="90" t="s">
        <v>27</v>
      </c>
      <c r="C34" s="75"/>
      <c r="D34" s="112">
        <v>0</v>
      </c>
      <c r="E34" s="112">
        <v>0</v>
      </c>
      <c r="F34" s="112">
        <v>0</v>
      </c>
      <c r="G34" s="112">
        <v>0</v>
      </c>
      <c r="H34" s="112">
        <v>0</v>
      </c>
      <c r="I34" s="112">
        <v>0</v>
      </c>
      <c r="J34" s="112">
        <v>0</v>
      </c>
      <c r="K34" s="112">
        <v>0</v>
      </c>
      <c r="L34" s="112">
        <v>0</v>
      </c>
      <c r="M34" s="112">
        <v>0</v>
      </c>
      <c r="N34" s="112">
        <v>4</v>
      </c>
      <c r="O34" s="112">
        <v>2</v>
      </c>
      <c r="P34" s="112">
        <v>0</v>
      </c>
      <c r="Q34" s="112">
        <v>0</v>
      </c>
      <c r="R34" s="26" t="s">
        <v>42</v>
      </c>
      <c r="CR34" s="28"/>
    </row>
    <row r="35" spans="2:96" ht="15" customHeight="1" x14ac:dyDescent="0.25">
      <c r="B35" s="90" t="s">
        <v>28</v>
      </c>
      <c r="C35" s="75"/>
      <c r="D35" s="112">
        <v>0</v>
      </c>
      <c r="E35" s="112">
        <v>0</v>
      </c>
      <c r="F35" s="112">
        <v>0</v>
      </c>
      <c r="G35" s="112">
        <v>0</v>
      </c>
      <c r="H35" s="112">
        <v>0</v>
      </c>
      <c r="I35" s="112">
        <v>0</v>
      </c>
      <c r="J35" s="112">
        <v>0</v>
      </c>
      <c r="K35" s="112">
        <v>0</v>
      </c>
      <c r="L35" s="112">
        <v>0</v>
      </c>
      <c r="M35" s="112">
        <v>0</v>
      </c>
      <c r="N35" s="112">
        <v>0</v>
      </c>
      <c r="O35" s="112">
        <v>0</v>
      </c>
      <c r="P35" s="112">
        <v>0</v>
      </c>
      <c r="Q35" s="112">
        <v>0</v>
      </c>
      <c r="R35" s="26" t="s">
        <v>43</v>
      </c>
      <c r="CQ35" s="28"/>
    </row>
    <row r="36" spans="2:96" ht="15" customHeight="1" x14ac:dyDescent="0.25">
      <c r="B36" s="90" t="s">
        <v>29</v>
      </c>
      <c r="C36" s="78"/>
      <c r="D36" s="112">
        <v>0</v>
      </c>
      <c r="E36" s="112">
        <v>0</v>
      </c>
      <c r="F36" s="112">
        <v>0</v>
      </c>
      <c r="G36" s="112">
        <v>0</v>
      </c>
      <c r="H36" s="112">
        <v>0</v>
      </c>
      <c r="I36" s="112">
        <v>0</v>
      </c>
      <c r="J36" s="112">
        <v>0</v>
      </c>
      <c r="K36" s="112">
        <v>0</v>
      </c>
      <c r="L36" s="112">
        <v>0</v>
      </c>
      <c r="M36" s="112">
        <v>0</v>
      </c>
      <c r="N36" s="112">
        <v>0</v>
      </c>
      <c r="O36" s="112">
        <v>0</v>
      </c>
      <c r="P36" s="112">
        <v>0</v>
      </c>
      <c r="Q36" s="112">
        <v>0</v>
      </c>
      <c r="R36" s="26" t="s">
        <v>44</v>
      </c>
      <c r="CQ36" s="28"/>
    </row>
    <row r="37" spans="2:96" ht="15" customHeight="1" x14ac:dyDescent="0.25">
      <c r="C37" s="94"/>
      <c r="D37" s="94"/>
      <c r="CR37" s="28"/>
    </row>
    <row r="38" spans="2:96" ht="15" customHeight="1" x14ac:dyDescent="0.25">
      <c r="B38" s="90" t="s">
        <v>45</v>
      </c>
      <c r="C38" s="91" t="s">
        <v>15</v>
      </c>
      <c r="D38" s="92" t="s">
        <v>16</v>
      </c>
      <c r="E38" s="90" t="s">
        <v>17</v>
      </c>
      <c r="F38" s="90" t="s">
        <v>18</v>
      </c>
      <c r="G38" s="90" t="s">
        <v>19</v>
      </c>
      <c r="H38" s="90" t="s">
        <v>20</v>
      </c>
      <c r="I38" s="90" t="s">
        <v>21</v>
      </c>
      <c r="J38" s="90" t="s">
        <v>22</v>
      </c>
      <c r="K38" s="90" t="s">
        <v>23</v>
      </c>
      <c r="L38" s="90" t="s">
        <v>24</v>
      </c>
      <c r="M38" s="90" t="s">
        <v>25</v>
      </c>
      <c r="N38" s="90" t="s">
        <v>26</v>
      </c>
      <c r="O38" s="90" t="s">
        <v>27</v>
      </c>
      <c r="P38" s="90" t="s">
        <v>28</v>
      </c>
      <c r="Q38" s="90" t="s">
        <v>29</v>
      </c>
      <c r="CR38" s="28"/>
    </row>
    <row r="39" spans="2:96" ht="15" customHeight="1" x14ac:dyDescent="0.25">
      <c r="B39" s="91" t="s">
        <v>30</v>
      </c>
      <c r="C39" s="77"/>
      <c r="D39" s="110"/>
      <c r="E39" s="110"/>
      <c r="F39" s="110"/>
      <c r="G39" s="110"/>
      <c r="H39" s="110"/>
      <c r="I39" s="110"/>
      <c r="J39" s="110"/>
      <c r="K39" s="110"/>
      <c r="L39" s="110"/>
      <c r="M39" s="110"/>
      <c r="N39" s="110"/>
      <c r="O39" s="110"/>
      <c r="P39" s="110"/>
      <c r="Q39" s="111"/>
      <c r="CR39" s="28"/>
    </row>
    <row r="40" spans="2:96" ht="15" customHeight="1" x14ac:dyDescent="0.25">
      <c r="B40" s="92" t="s">
        <v>16</v>
      </c>
      <c r="C40" s="75"/>
      <c r="D40" s="112">
        <v>2346</v>
      </c>
      <c r="E40" s="112">
        <v>1267</v>
      </c>
      <c r="F40" s="112">
        <v>178</v>
      </c>
      <c r="G40" s="112">
        <v>42</v>
      </c>
      <c r="H40" s="112">
        <v>13</v>
      </c>
      <c r="I40" s="112">
        <v>3</v>
      </c>
      <c r="J40" s="112">
        <v>4</v>
      </c>
      <c r="K40" s="112">
        <v>4</v>
      </c>
      <c r="L40" s="112">
        <v>2</v>
      </c>
      <c r="M40" s="112">
        <v>0</v>
      </c>
      <c r="N40" s="112">
        <v>0</v>
      </c>
      <c r="O40" s="112">
        <v>0</v>
      </c>
      <c r="P40" s="112">
        <v>0</v>
      </c>
      <c r="Q40" s="112">
        <v>0</v>
      </c>
      <c r="R40" s="26" t="s">
        <v>181</v>
      </c>
      <c r="CR40" s="28"/>
    </row>
    <row r="41" spans="2:96" ht="15" customHeight="1" x14ac:dyDescent="0.25">
      <c r="B41" s="90" t="s">
        <v>17</v>
      </c>
      <c r="C41" s="75"/>
      <c r="D41" s="112">
        <v>58</v>
      </c>
      <c r="E41" s="112">
        <v>857</v>
      </c>
      <c r="F41" s="112">
        <v>511</v>
      </c>
      <c r="G41" s="112">
        <v>38</v>
      </c>
      <c r="H41" s="112">
        <v>20</v>
      </c>
      <c r="I41" s="112">
        <v>10</v>
      </c>
      <c r="J41" s="112">
        <v>5</v>
      </c>
      <c r="K41" s="112">
        <v>1</v>
      </c>
      <c r="L41" s="112">
        <v>0</v>
      </c>
      <c r="M41" s="112">
        <v>2</v>
      </c>
      <c r="N41" s="112">
        <v>0</v>
      </c>
      <c r="O41" s="112">
        <v>0</v>
      </c>
      <c r="P41" s="112">
        <v>0</v>
      </c>
      <c r="Q41" s="112">
        <v>0</v>
      </c>
      <c r="R41" s="26" t="s">
        <v>182</v>
      </c>
      <c r="CR41" s="28"/>
    </row>
    <row r="42" spans="2:96" ht="15" customHeight="1" x14ac:dyDescent="0.25">
      <c r="B42" s="90" t="s">
        <v>18</v>
      </c>
      <c r="C42" s="75"/>
      <c r="D42" s="112">
        <v>13</v>
      </c>
      <c r="E42" s="112">
        <v>21</v>
      </c>
      <c r="F42" s="112">
        <v>478</v>
      </c>
      <c r="G42" s="112">
        <v>168</v>
      </c>
      <c r="H42" s="112">
        <v>4</v>
      </c>
      <c r="I42" s="112">
        <v>5</v>
      </c>
      <c r="J42" s="112">
        <v>88</v>
      </c>
      <c r="K42" s="112">
        <v>0</v>
      </c>
      <c r="L42" s="112">
        <v>0</v>
      </c>
      <c r="M42" s="112">
        <v>0</v>
      </c>
      <c r="N42" s="112">
        <v>0</v>
      </c>
      <c r="O42" s="112">
        <v>0</v>
      </c>
      <c r="P42" s="112">
        <v>0</v>
      </c>
      <c r="Q42" s="112">
        <v>0</v>
      </c>
      <c r="R42" s="26" t="s">
        <v>183</v>
      </c>
      <c r="CR42" s="28"/>
    </row>
    <row r="43" spans="2:96" ht="15" customHeight="1" x14ac:dyDescent="0.25">
      <c r="B43" s="90" t="s">
        <v>19</v>
      </c>
      <c r="C43" s="75"/>
      <c r="D43" s="112">
        <v>40</v>
      </c>
      <c r="E43" s="112">
        <v>17</v>
      </c>
      <c r="F43" s="112">
        <v>76</v>
      </c>
      <c r="G43" s="112">
        <v>378</v>
      </c>
      <c r="H43" s="112">
        <v>52</v>
      </c>
      <c r="I43" s="112">
        <v>3</v>
      </c>
      <c r="J43" s="112">
        <v>14</v>
      </c>
      <c r="K43" s="112">
        <v>2</v>
      </c>
      <c r="L43" s="112">
        <v>0</v>
      </c>
      <c r="M43" s="112">
        <v>0</v>
      </c>
      <c r="N43" s="112">
        <v>0</v>
      </c>
      <c r="O43" s="112">
        <v>0</v>
      </c>
      <c r="P43" s="112">
        <v>0</v>
      </c>
      <c r="Q43" s="112">
        <v>0</v>
      </c>
      <c r="R43" s="26" t="s">
        <v>184</v>
      </c>
      <c r="CR43" s="28"/>
    </row>
    <row r="44" spans="2:96" ht="15" customHeight="1" x14ac:dyDescent="0.25">
      <c r="B44" s="90" t="s">
        <v>20</v>
      </c>
      <c r="C44" s="75"/>
      <c r="D44" s="112">
        <v>0</v>
      </c>
      <c r="E44" s="112">
        <v>11</v>
      </c>
      <c r="F44" s="112">
        <v>17</v>
      </c>
      <c r="G44" s="112">
        <v>119</v>
      </c>
      <c r="H44" s="112">
        <v>223</v>
      </c>
      <c r="I44" s="112">
        <v>124</v>
      </c>
      <c r="J44" s="112">
        <v>15</v>
      </c>
      <c r="K44" s="112">
        <v>0</v>
      </c>
      <c r="L44" s="112">
        <v>0</v>
      </c>
      <c r="M44" s="112">
        <v>0</v>
      </c>
      <c r="N44" s="112">
        <v>0</v>
      </c>
      <c r="O44" s="112">
        <v>0</v>
      </c>
      <c r="P44" s="112">
        <v>0</v>
      </c>
      <c r="Q44" s="112">
        <v>0</v>
      </c>
      <c r="R44" s="26" t="s">
        <v>185</v>
      </c>
      <c r="CR44" s="28"/>
    </row>
    <row r="45" spans="2:96" ht="15" customHeight="1" x14ac:dyDescent="0.25">
      <c r="B45" s="90" t="s">
        <v>21</v>
      </c>
      <c r="C45" s="75"/>
      <c r="D45" s="112">
        <v>0</v>
      </c>
      <c r="E45" s="112">
        <v>0</v>
      </c>
      <c r="F45" s="112">
        <v>9</v>
      </c>
      <c r="G45" s="112">
        <v>19</v>
      </c>
      <c r="H45" s="112">
        <v>49</v>
      </c>
      <c r="I45" s="112">
        <v>181</v>
      </c>
      <c r="J45" s="112">
        <v>62</v>
      </c>
      <c r="K45" s="112">
        <v>1</v>
      </c>
      <c r="L45" s="112">
        <v>1</v>
      </c>
      <c r="M45" s="112">
        <v>0</v>
      </c>
      <c r="N45" s="112">
        <v>0</v>
      </c>
      <c r="O45" s="112">
        <v>0</v>
      </c>
      <c r="P45" s="112">
        <v>0</v>
      </c>
      <c r="Q45" s="112">
        <v>0</v>
      </c>
      <c r="R45" s="26" t="s">
        <v>186</v>
      </c>
      <c r="CR45" s="28"/>
    </row>
    <row r="46" spans="2:96" ht="15" customHeight="1" x14ac:dyDescent="0.25">
      <c r="B46" s="90" t="s">
        <v>22</v>
      </c>
      <c r="C46" s="75"/>
      <c r="D46" s="112">
        <v>0</v>
      </c>
      <c r="E46" s="112">
        <v>0</v>
      </c>
      <c r="F46" s="112">
        <v>0</v>
      </c>
      <c r="G46" s="112">
        <v>0</v>
      </c>
      <c r="H46" s="112">
        <v>1</v>
      </c>
      <c r="I46" s="112">
        <v>34</v>
      </c>
      <c r="J46" s="112">
        <v>298</v>
      </c>
      <c r="K46" s="112">
        <v>49</v>
      </c>
      <c r="L46" s="112">
        <v>0</v>
      </c>
      <c r="M46" s="112">
        <v>0</v>
      </c>
      <c r="N46" s="112">
        <v>0</v>
      </c>
      <c r="O46" s="112">
        <v>0</v>
      </c>
      <c r="P46" s="112">
        <v>0</v>
      </c>
      <c r="Q46" s="112">
        <v>0</v>
      </c>
      <c r="R46" s="26" t="s">
        <v>187</v>
      </c>
      <c r="CR46" s="28"/>
    </row>
    <row r="47" spans="2:96" ht="15" customHeight="1" x14ac:dyDescent="0.25">
      <c r="B47" s="90" t="s">
        <v>23</v>
      </c>
      <c r="C47" s="75"/>
      <c r="D47" s="112">
        <v>0</v>
      </c>
      <c r="E47" s="112">
        <v>0</v>
      </c>
      <c r="F47" s="112">
        <v>0</v>
      </c>
      <c r="G47" s="112">
        <v>0</v>
      </c>
      <c r="H47" s="112">
        <v>0</v>
      </c>
      <c r="I47" s="112">
        <v>0</v>
      </c>
      <c r="J47" s="112">
        <v>5</v>
      </c>
      <c r="K47" s="112">
        <v>137</v>
      </c>
      <c r="L47" s="112">
        <v>11</v>
      </c>
      <c r="M47" s="112">
        <v>0</v>
      </c>
      <c r="N47" s="112">
        <v>0</v>
      </c>
      <c r="O47" s="112">
        <v>0</v>
      </c>
      <c r="P47" s="112">
        <v>0</v>
      </c>
      <c r="Q47" s="112">
        <v>0</v>
      </c>
      <c r="R47" s="26" t="s">
        <v>188</v>
      </c>
      <c r="CR47" s="28"/>
    </row>
    <row r="48" spans="2:96" ht="15" customHeight="1" x14ac:dyDescent="0.25">
      <c r="B48" s="90" t="s">
        <v>24</v>
      </c>
      <c r="C48" s="75"/>
      <c r="D48" s="112">
        <v>0</v>
      </c>
      <c r="E48" s="112">
        <v>0</v>
      </c>
      <c r="F48" s="112">
        <v>0</v>
      </c>
      <c r="G48" s="112">
        <v>0</v>
      </c>
      <c r="H48" s="112">
        <v>0</v>
      </c>
      <c r="I48" s="112">
        <v>0</v>
      </c>
      <c r="J48" s="112">
        <v>21</v>
      </c>
      <c r="K48" s="112">
        <v>36</v>
      </c>
      <c r="L48" s="112">
        <v>9</v>
      </c>
      <c r="M48" s="112">
        <v>5</v>
      </c>
      <c r="N48" s="112">
        <v>1</v>
      </c>
      <c r="O48" s="112">
        <v>0</v>
      </c>
      <c r="P48" s="112">
        <v>0</v>
      </c>
      <c r="Q48" s="112">
        <v>0</v>
      </c>
      <c r="R48" s="26" t="s">
        <v>189</v>
      </c>
      <c r="CR48" s="28"/>
    </row>
    <row r="49" spans="2:96" ht="15" customHeight="1" x14ac:dyDescent="0.25">
      <c r="B49" s="90" t="s">
        <v>25</v>
      </c>
      <c r="C49" s="75"/>
      <c r="D49" s="112">
        <v>0</v>
      </c>
      <c r="E49" s="112">
        <v>0</v>
      </c>
      <c r="F49" s="112">
        <v>0</v>
      </c>
      <c r="G49" s="112">
        <v>0</v>
      </c>
      <c r="H49" s="112">
        <v>0</v>
      </c>
      <c r="I49" s="112">
        <v>0</v>
      </c>
      <c r="J49" s="112">
        <v>0</v>
      </c>
      <c r="K49" s="112">
        <v>0</v>
      </c>
      <c r="L49" s="112">
        <v>0</v>
      </c>
      <c r="M49" s="112">
        <v>0</v>
      </c>
      <c r="N49" s="112">
        <v>0</v>
      </c>
      <c r="O49" s="112">
        <v>0</v>
      </c>
      <c r="P49" s="112">
        <v>0</v>
      </c>
      <c r="Q49" s="112">
        <v>0</v>
      </c>
      <c r="R49" s="26" t="s">
        <v>190</v>
      </c>
      <c r="CR49" s="28"/>
    </row>
    <row r="50" spans="2:96" ht="15" customHeight="1" x14ac:dyDescent="0.25">
      <c r="B50" s="90" t="s">
        <v>26</v>
      </c>
      <c r="C50" s="75"/>
      <c r="D50" s="112">
        <v>0</v>
      </c>
      <c r="E50" s="112">
        <v>0</v>
      </c>
      <c r="F50" s="112">
        <v>0</v>
      </c>
      <c r="G50" s="112">
        <v>0</v>
      </c>
      <c r="H50" s="112">
        <v>0</v>
      </c>
      <c r="I50" s="112">
        <v>0</v>
      </c>
      <c r="J50" s="112">
        <v>0</v>
      </c>
      <c r="K50" s="112">
        <v>0</v>
      </c>
      <c r="L50" s="112">
        <v>0</v>
      </c>
      <c r="M50" s="112">
        <v>0</v>
      </c>
      <c r="N50" s="112">
        <v>0</v>
      </c>
      <c r="O50" s="112">
        <v>0</v>
      </c>
      <c r="P50" s="112">
        <v>0</v>
      </c>
      <c r="Q50" s="112">
        <v>0</v>
      </c>
      <c r="R50" s="26" t="s">
        <v>191</v>
      </c>
      <c r="CR50" s="28"/>
    </row>
    <row r="51" spans="2:96" ht="15" customHeight="1" x14ac:dyDescent="0.25">
      <c r="B51" s="90" t="s">
        <v>27</v>
      </c>
      <c r="C51" s="75"/>
      <c r="D51" s="112">
        <v>0</v>
      </c>
      <c r="E51" s="112">
        <v>0</v>
      </c>
      <c r="F51" s="112">
        <v>0</v>
      </c>
      <c r="G51" s="112">
        <v>0</v>
      </c>
      <c r="H51" s="112">
        <v>0</v>
      </c>
      <c r="I51" s="112">
        <v>0</v>
      </c>
      <c r="J51" s="112">
        <v>0</v>
      </c>
      <c r="K51" s="112">
        <v>0</v>
      </c>
      <c r="L51" s="112">
        <v>0</v>
      </c>
      <c r="M51" s="112">
        <v>0</v>
      </c>
      <c r="N51" s="112">
        <v>0</v>
      </c>
      <c r="O51" s="112">
        <v>0</v>
      </c>
      <c r="P51" s="112">
        <v>0</v>
      </c>
      <c r="Q51" s="112">
        <v>0</v>
      </c>
      <c r="R51" s="26" t="s">
        <v>192</v>
      </c>
      <c r="CR51" s="28"/>
    </row>
    <row r="52" spans="2:96" ht="15" customHeight="1" x14ac:dyDescent="0.25">
      <c r="B52" s="90" t="s">
        <v>28</v>
      </c>
      <c r="C52" s="75"/>
      <c r="D52" s="112">
        <v>0</v>
      </c>
      <c r="E52" s="112">
        <v>0</v>
      </c>
      <c r="F52" s="112">
        <v>0</v>
      </c>
      <c r="G52" s="112">
        <v>0</v>
      </c>
      <c r="H52" s="112">
        <v>0</v>
      </c>
      <c r="I52" s="112">
        <v>0</v>
      </c>
      <c r="J52" s="112">
        <v>0</v>
      </c>
      <c r="K52" s="112">
        <v>0</v>
      </c>
      <c r="L52" s="112">
        <v>0</v>
      </c>
      <c r="M52" s="112">
        <v>0</v>
      </c>
      <c r="N52" s="112">
        <v>0</v>
      </c>
      <c r="O52" s="112">
        <v>0</v>
      </c>
      <c r="P52" s="112">
        <v>0</v>
      </c>
      <c r="Q52" s="112">
        <v>0</v>
      </c>
      <c r="R52" s="26" t="s">
        <v>193</v>
      </c>
      <c r="CR52" s="28"/>
    </row>
    <row r="53" spans="2:96" ht="15" customHeight="1" x14ac:dyDescent="0.25">
      <c r="B53" s="90" t="s">
        <v>29</v>
      </c>
      <c r="C53" s="78"/>
      <c r="D53" s="112">
        <v>0</v>
      </c>
      <c r="E53" s="112">
        <v>0</v>
      </c>
      <c r="F53" s="112">
        <v>0</v>
      </c>
      <c r="G53" s="112">
        <v>0</v>
      </c>
      <c r="H53" s="112">
        <v>0</v>
      </c>
      <c r="I53" s="112">
        <v>0</v>
      </c>
      <c r="J53" s="112">
        <v>0</v>
      </c>
      <c r="K53" s="112">
        <v>0</v>
      </c>
      <c r="L53" s="112">
        <v>0</v>
      </c>
      <c r="M53" s="112">
        <v>0</v>
      </c>
      <c r="N53" s="112">
        <v>0</v>
      </c>
      <c r="O53" s="112">
        <v>0</v>
      </c>
      <c r="P53" s="112">
        <v>0</v>
      </c>
      <c r="Q53" s="112">
        <v>0</v>
      </c>
      <c r="R53" s="26" t="s">
        <v>194</v>
      </c>
      <c r="CR53" s="28"/>
    </row>
    <row r="54" spans="2:96" ht="15" customHeight="1" x14ac:dyDescent="0.25">
      <c r="C54" s="94"/>
      <c r="D54" s="94"/>
      <c r="CR54" s="28"/>
    </row>
    <row r="55" spans="2:96" s="5" customFormat="1" ht="15.75" x14ac:dyDescent="0.25">
      <c r="B55" s="5" t="s">
        <v>46</v>
      </c>
    </row>
    <row r="56" spans="2:96" ht="15" customHeight="1" x14ac:dyDescent="0.25">
      <c r="E56" s="28"/>
      <c r="CR56" s="28"/>
    </row>
    <row r="57" spans="2:96" ht="15" customHeight="1" x14ac:dyDescent="0.25">
      <c r="B57" s="90" t="s">
        <v>14</v>
      </c>
      <c r="C57" s="91" t="s">
        <v>15</v>
      </c>
      <c r="D57" s="92" t="s">
        <v>16</v>
      </c>
      <c r="E57" s="90" t="s">
        <v>17</v>
      </c>
      <c r="F57" s="90" t="s">
        <v>18</v>
      </c>
      <c r="G57" s="90" t="s">
        <v>19</v>
      </c>
      <c r="H57" s="90" t="s">
        <v>20</v>
      </c>
      <c r="I57" s="90" t="s">
        <v>21</v>
      </c>
      <c r="J57" s="90" t="s">
        <v>22</v>
      </c>
      <c r="K57" s="90" t="s">
        <v>23</v>
      </c>
      <c r="L57" s="90" t="s">
        <v>24</v>
      </c>
      <c r="M57" s="90" t="s">
        <v>25</v>
      </c>
      <c r="N57" s="90" t="s">
        <v>26</v>
      </c>
      <c r="O57" s="90" t="s">
        <v>27</v>
      </c>
      <c r="P57" s="90" t="s">
        <v>28</v>
      </c>
      <c r="Q57" s="90" t="s">
        <v>29</v>
      </c>
      <c r="R57" s="27"/>
      <c r="CR57" s="28"/>
    </row>
    <row r="58" spans="2:96" ht="15" customHeight="1" x14ac:dyDescent="0.25">
      <c r="B58" s="91" t="s">
        <v>30</v>
      </c>
      <c r="C58" s="77"/>
      <c r="D58" s="110"/>
      <c r="E58" s="110"/>
      <c r="F58" s="110"/>
      <c r="G58" s="110"/>
      <c r="H58" s="110"/>
      <c r="I58" s="110"/>
      <c r="J58" s="110"/>
      <c r="K58" s="110"/>
      <c r="L58" s="110"/>
      <c r="M58" s="110"/>
      <c r="N58" s="110"/>
      <c r="O58" s="110"/>
      <c r="P58" s="110"/>
      <c r="Q58" s="111"/>
      <c r="R58" s="27"/>
      <c r="CR58" s="28"/>
    </row>
    <row r="59" spans="2:96" ht="15" customHeight="1" x14ac:dyDescent="0.25">
      <c r="B59" s="92" t="s">
        <v>16</v>
      </c>
      <c r="C59" s="75"/>
      <c r="D59" s="112">
        <v>16</v>
      </c>
      <c r="E59" s="112">
        <v>49</v>
      </c>
      <c r="F59" s="112">
        <v>0</v>
      </c>
      <c r="G59" s="112">
        <v>0</v>
      </c>
      <c r="H59" s="112">
        <v>0</v>
      </c>
      <c r="I59" s="112">
        <v>0</v>
      </c>
      <c r="J59" s="112">
        <v>0</v>
      </c>
      <c r="K59" s="112">
        <v>0</v>
      </c>
      <c r="L59" s="112">
        <v>0</v>
      </c>
      <c r="M59" s="112">
        <v>0</v>
      </c>
      <c r="N59" s="112">
        <v>0</v>
      </c>
      <c r="O59" s="112">
        <v>0</v>
      </c>
      <c r="P59" s="112">
        <v>0</v>
      </c>
      <c r="Q59" s="112">
        <v>0</v>
      </c>
      <c r="R59" s="26" t="s">
        <v>47</v>
      </c>
      <c r="CR59" s="28"/>
    </row>
    <row r="60" spans="2:96" ht="15" customHeight="1" x14ac:dyDescent="0.25">
      <c r="B60" s="90" t="s">
        <v>17</v>
      </c>
      <c r="C60" s="75"/>
      <c r="D60" s="112">
        <v>0</v>
      </c>
      <c r="E60" s="112">
        <v>274</v>
      </c>
      <c r="F60" s="112">
        <v>847</v>
      </c>
      <c r="G60" s="112">
        <v>49</v>
      </c>
      <c r="H60" s="112">
        <v>46</v>
      </c>
      <c r="I60" s="112">
        <v>27</v>
      </c>
      <c r="J60" s="112">
        <v>1</v>
      </c>
      <c r="K60" s="112">
        <v>0</v>
      </c>
      <c r="L60" s="112">
        <v>0</v>
      </c>
      <c r="M60" s="112">
        <v>0</v>
      </c>
      <c r="N60" s="112">
        <v>0</v>
      </c>
      <c r="O60" s="112">
        <v>0</v>
      </c>
      <c r="P60" s="112">
        <v>0</v>
      </c>
      <c r="Q60" s="112">
        <v>0</v>
      </c>
      <c r="R60" s="26" t="s">
        <v>48</v>
      </c>
      <c r="CR60" s="28"/>
    </row>
    <row r="61" spans="2:96" ht="15" customHeight="1" x14ac:dyDescent="0.25">
      <c r="B61" s="90" t="s">
        <v>18</v>
      </c>
      <c r="C61" s="75"/>
      <c r="D61" s="112">
        <v>0</v>
      </c>
      <c r="E61" s="112">
        <v>0</v>
      </c>
      <c r="F61" s="112">
        <v>488</v>
      </c>
      <c r="G61" s="112">
        <v>1204</v>
      </c>
      <c r="H61" s="112">
        <v>130</v>
      </c>
      <c r="I61" s="112">
        <v>6</v>
      </c>
      <c r="J61" s="112">
        <v>1</v>
      </c>
      <c r="K61" s="112">
        <v>2</v>
      </c>
      <c r="L61" s="112">
        <v>0</v>
      </c>
      <c r="M61" s="112">
        <v>2</v>
      </c>
      <c r="N61" s="112">
        <v>0</v>
      </c>
      <c r="O61" s="112">
        <v>0</v>
      </c>
      <c r="P61" s="112">
        <v>0</v>
      </c>
      <c r="Q61" s="112">
        <v>0</v>
      </c>
      <c r="R61" s="26" t="s">
        <v>49</v>
      </c>
      <c r="CR61" s="28"/>
    </row>
    <row r="62" spans="2:96" ht="15" customHeight="1" x14ac:dyDescent="0.25">
      <c r="B62" s="90" t="s">
        <v>19</v>
      </c>
      <c r="C62" s="75"/>
      <c r="D62" s="112">
        <v>0</v>
      </c>
      <c r="E62" s="112">
        <v>0</v>
      </c>
      <c r="F62" s="112">
        <v>3</v>
      </c>
      <c r="G62" s="112">
        <v>814</v>
      </c>
      <c r="H62" s="112">
        <v>895</v>
      </c>
      <c r="I62" s="112">
        <v>80</v>
      </c>
      <c r="J62" s="112">
        <v>28</v>
      </c>
      <c r="K62" s="112">
        <v>18</v>
      </c>
      <c r="L62" s="112">
        <v>11</v>
      </c>
      <c r="M62" s="112">
        <v>2</v>
      </c>
      <c r="N62" s="112">
        <v>2</v>
      </c>
      <c r="O62" s="112">
        <v>4</v>
      </c>
      <c r="P62" s="112">
        <v>0</v>
      </c>
      <c r="Q62" s="112">
        <v>0</v>
      </c>
      <c r="R62" s="26" t="s">
        <v>50</v>
      </c>
      <c r="CR62" s="28"/>
    </row>
    <row r="63" spans="2:96" ht="15" customHeight="1" x14ac:dyDescent="0.25">
      <c r="B63" s="90" t="s">
        <v>20</v>
      </c>
      <c r="C63" s="75"/>
      <c r="D63" s="112">
        <v>0</v>
      </c>
      <c r="E63" s="112">
        <v>0</v>
      </c>
      <c r="F63" s="112">
        <v>0</v>
      </c>
      <c r="G63" s="112">
        <v>6</v>
      </c>
      <c r="H63" s="112">
        <v>563</v>
      </c>
      <c r="I63" s="112">
        <v>247</v>
      </c>
      <c r="J63" s="112">
        <v>16</v>
      </c>
      <c r="K63" s="112">
        <v>0</v>
      </c>
      <c r="L63" s="112">
        <v>1</v>
      </c>
      <c r="M63" s="112">
        <v>2</v>
      </c>
      <c r="N63" s="112">
        <v>0</v>
      </c>
      <c r="O63" s="112">
        <v>0</v>
      </c>
      <c r="P63" s="112">
        <v>0</v>
      </c>
      <c r="Q63" s="112">
        <v>0</v>
      </c>
      <c r="R63" s="26" t="s">
        <v>51</v>
      </c>
      <c r="CR63" s="28"/>
    </row>
    <row r="64" spans="2:96" s="93" customFormat="1" ht="15" customHeight="1" x14ac:dyDescent="0.25">
      <c r="B64" s="90" t="s">
        <v>21</v>
      </c>
      <c r="C64" s="75"/>
      <c r="D64" s="112">
        <v>0</v>
      </c>
      <c r="E64" s="112">
        <v>0</v>
      </c>
      <c r="F64" s="112">
        <v>0</v>
      </c>
      <c r="G64" s="112">
        <v>0</v>
      </c>
      <c r="H64" s="112">
        <v>32</v>
      </c>
      <c r="I64" s="112">
        <v>419</v>
      </c>
      <c r="J64" s="112">
        <v>138</v>
      </c>
      <c r="K64" s="112">
        <v>9</v>
      </c>
      <c r="L64" s="112">
        <v>2</v>
      </c>
      <c r="M64" s="112">
        <v>2</v>
      </c>
      <c r="N64" s="112">
        <v>0</v>
      </c>
      <c r="O64" s="112">
        <v>0</v>
      </c>
      <c r="P64" s="112">
        <v>0</v>
      </c>
      <c r="Q64" s="112">
        <v>0</v>
      </c>
      <c r="R64" s="26" t="s">
        <v>52</v>
      </c>
    </row>
    <row r="65" spans="1:96" s="93" customFormat="1" ht="15" customHeight="1" x14ac:dyDescent="0.25">
      <c r="A65" s="95"/>
      <c r="B65" s="90" t="s">
        <v>22</v>
      </c>
      <c r="C65" s="75"/>
      <c r="D65" s="112">
        <v>0</v>
      </c>
      <c r="E65" s="112">
        <v>0</v>
      </c>
      <c r="F65" s="112">
        <v>0</v>
      </c>
      <c r="G65" s="112">
        <v>0</v>
      </c>
      <c r="H65" s="112">
        <v>0</v>
      </c>
      <c r="I65" s="112">
        <v>80</v>
      </c>
      <c r="J65" s="112">
        <v>220</v>
      </c>
      <c r="K65" s="112">
        <v>164</v>
      </c>
      <c r="L65" s="112">
        <v>18</v>
      </c>
      <c r="M65" s="112">
        <v>1</v>
      </c>
      <c r="N65" s="112">
        <v>0</v>
      </c>
      <c r="O65" s="112">
        <v>0</v>
      </c>
      <c r="P65" s="112">
        <v>0</v>
      </c>
      <c r="Q65" s="112">
        <v>0</v>
      </c>
      <c r="R65" s="26" t="s">
        <v>53</v>
      </c>
    </row>
    <row r="66" spans="1:96" s="93" customFormat="1" ht="15" customHeight="1" x14ac:dyDescent="0.25">
      <c r="A66" s="96"/>
      <c r="B66" s="90" t="s">
        <v>23</v>
      </c>
      <c r="C66" s="75"/>
      <c r="D66" s="112">
        <v>0</v>
      </c>
      <c r="E66" s="112">
        <v>0</v>
      </c>
      <c r="F66" s="112">
        <v>0</v>
      </c>
      <c r="G66" s="112">
        <v>0</v>
      </c>
      <c r="H66" s="112">
        <v>0</v>
      </c>
      <c r="I66" s="112">
        <v>52</v>
      </c>
      <c r="J66" s="112">
        <v>7</v>
      </c>
      <c r="K66" s="112">
        <v>347</v>
      </c>
      <c r="L66" s="112">
        <v>146</v>
      </c>
      <c r="M66" s="112">
        <v>4</v>
      </c>
      <c r="N66" s="112">
        <v>0</v>
      </c>
      <c r="O66" s="112">
        <v>0</v>
      </c>
      <c r="P66" s="112">
        <v>0</v>
      </c>
      <c r="Q66" s="112">
        <v>0</v>
      </c>
      <c r="R66" s="26" t="s">
        <v>54</v>
      </c>
    </row>
    <row r="67" spans="1:96" ht="15" customHeight="1" x14ac:dyDescent="0.25">
      <c r="B67" s="90" t="s">
        <v>24</v>
      </c>
      <c r="C67" s="75"/>
      <c r="D67" s="112">
        <v>0</v>
      </c>
      <c r="E67" s="112">
        <v>0</v>
      </c>
      <c r="F67" s="112">
        <v>0</v>
      </c>
      <c r="G67" s="112">
        <v>0</v>
      </c>
      <c r="H67" s="112">
        <v>0</v>
      </c>
      <c r="I67" s="112">
        <v>0</v>
      </c>
      <c r="J67" s="112">
        <v>0</v>
      </c>
      <c r="K67" s="112">
        <v>63</v>
      </c>
      <c r="L67" s="112">
        <v>276</v>
      </c>
      <c r="M67" s="112">
        <v>27</v>
      </c>
      <c r="N67" s="112">
        <v>2</v>
      </c>
      <c r="O67" s="112">
        <v>0</v>
      </c>
      <c r="P67" s="112">
        <v>0</v>
      </c>
      <c r="Q67" s="112">
        <v>0</v>
      </c>
      <c r="R67" s="26" t="s">
        <v>55</v>
      </c>
    </row>
    <row r="68" spans="1:96" ht="15" customHeight="1" x14ac:dyDescent="0.25">
      <c r="B68" s="90" t="s">
        <v>25</v>
      </c>
      <c r="C68" s="75"/>
      <c r="D68" s="112">
        <v>0</v>
      </c>
      <c r="E68" s="112">
        <v>0</v>
      </c>
      <c r="F68" s="112">
        <v>0</v>
      </c>
      <c r="G68" s="112">
        <v>0</v>
      </c>
      <c r="H68" s="112">
        <v>0</v>
      </c>
      <c r="I68" s="112">
        <v>0</v>
      </c>
      <c r="J68" s="112">
        <v>0</v>
      </c>
      <c r="K68" s="112">
        <v>0</v>
      </c>
      <c r="L68" s="112">
        <v>34</v>
      </c>
      <c r="M68" s="112">
        <v>165</v>
      </c>
      <c r="N68" s="112">
        <v>37</v>
      </c>
      <c r="O68" s="112">
        <v>0</v>
      </c>
      <c r="P68" s="112">
        <v>0</v>
      </c>
      <c r="Q68" s="112">
        <v>0</v>
      </c>
      <c r="R68" s="26" t="s">
        <v>56</v>
      </c>
    </row>
    <row r="69" spans="1:96" ht="15" customHeight="1" x14ac:dyDescent="0.25">
      <c r="B69" s="90" t="s">
        <v>26</v>
      </c>
      <c r="C69" s="75"/>
      <c r="D69" s="112">
        <v>0</v>
      </c>
      <c r="E69" s="112">
        <v>0</v>
      </c>
      <c r="F69" s="112">
        <v>0</v>
      </c>
      <c r="G69" s="112">
        <v>0</v>
      </c>
      <c r="H69" s="112">
        <v>0</v>
      </c>
      <c r="I69" s="112">
        <v>0</v>
      </c>
      <c r="J69" s="112">
        <v>0</v>
      </c>
      <c r="K69" s="112">
        <v>0</v>
      </c>
      <c r="L69" s="112">
        <v>0</v>
      </c>
      <c r="M69" s="112">
        <v>37</v>
      </c>
      <c r="N69" s="112">
        <v>30</v>
      </c>
      <c r="O69" s="112">
        <v>7</v>
      </c>
      <c r="P69" s="112">
        <v>1</v>
      </c>
      <c r="Q69" s="112">
        <v>0</v>
      </c>
      <c r="R69" s="26" t="s">
        <v>57</v>
      </c>
    </row>
    <row r="70" spans="1:96" ht="15" customHeight="1" x14ac:dyDescent="0.25">
      <c r="B70" s="90" t="s">
        <v>27</v>
      </c>
      <c r="C70" s="75"/>
      <c r="D70" s="112">
        <v>0</v>
      </c>
      <c r="E70" s="112">
        <v>0</v>
      </c>
      <c r="F70" s="112">
        <v>0</v>
      </c>
      <c r="G70" s="112">
        <v>0</v>
      </c>
      <c r="H70" s="112">
        <v>0</v>
      </c>
      <c r="I70" s="112">
        <v>0</v>
      </c>
      <c r="J70" s="112">
        <v>0</v>
      </c>
      <c r="K70" s="112">
        <v>0</v>
      </c>
      <c r="L70" s="112">
        <v>0</v>
      </c>
      <c r="M70" s="112">
        <v>0</v>
      </c>
      <c r="N70" s="112">
        <v>3</v>
      </c>
      <c r="O70" s="112">
        <v>1</v>
      </c>
      <c r="P70" s="112">
        <v>0</v>
      </c>
      <c r="Q70" s="112">
        <v>0</v>
      </c>
      <c r="R70" s="26" t="s">
        <v>58</v>
      </c>
    </row>
    <row r="71" spans="1:96" s="9" customFormat="1" ht="15" customHeight="1" x14ac:dyDescent="0.25">
      <c r="B71" s="90" t="s">
        <v>28</v>
      </c>
      <c r="C71" s="75"/>
      <c r="D71" s="112">
        <v>0</v>
      </c>
      <c r="E71" s="112">
        <v>0</v>
      </c>
      <c r="F71" s="112">
        <v>0</v>
      </c>
      <c r="G71" s="112">
        <v>0</v>
      </c>
      <c r="H71" s="112">
        <v>0</v>
      </c>
      <c r="I71" s="112">
        <v>0</v>
      </c>
      <c r="J71" s="112">
        <v>0</v>
      </c>
      <c r="K71" s="112">
        <v>0</v>
      </c>
      <c r="L71" s="112">
        <v>0</v>
      </c>
      <c r="M71" s="112">
        <v>0</v>
      </c>
      <c r="N71" s="112">
        <v>0</v>
      </c>
      <c r="O71" s="112">
        <v>0</v>
      </c>
      <c r="P71" s="112">
        <v>0</v>
      </c>
      <c r="Q71" s="112">
        <v>0</v>
      </c>
      <c r="R71" s="26" t="s">
        <v>59</v>
      </c>
    </row>
    <row r="72" spans="1:96" s="9" customFormat="1" ht="15" customHeight="1" x14ac:dyDescent="0.25">
      <c r="B72" s="90" t="s">
        <v>29</v>
      </c>
      <c r="C72" s="78"/>
      <c r="D72" s="112">
        <v>0</v>
      </c>
      <c r="E72" s="112">
        <v>0</v>
      </c>
      <c r="F72" s="112">
        <v>0</v>
      </c>
      <c r="G72" s="112">
        <v>0</v>
      </c>
      <c r="H72" s="112">
        <v>0</v>
      </c>
      <c r="I72" s="112">
        <v>0</v>
      </c>
      <c r="J72" s="112">
        <v>0</v>
      </c>
      <c r="K72" s="112">
        <v>0</v>
      </c>
      <c r="L72" s="112">
        <v>0</v>
      </c>
      <c r="M72" s="112">
        <v>0</v>
      </c>
      <c r="N72" s="112">
        <v>0</v>
      </c>
      <c r="O72" s="112">
        <v>0</v>
      </c>
      <c r="P72" s="112">
        <v>0</v>
      </c>
      <c r="Q72" s="112">
        <v>0</v>
      </c>
      <c r="R72" s="26" t="s">
        <v>60</v>
      </c>
    </row>
    <row r="73" spans="1:96" ht="15" customHeight="1" x14ac:dyDescent="0.25"/>
    <row r="74" spans="1:96" ht="15" customHeight="1" x14ac:dyDescent="0.25">
      <c r="B74" s="90" t="s">
        <v>45</v>
      </c>
      <c r="C74" s="91" t="s">
        <v>15</v>
      </c>
      <c r="D74" s="92" t="s">
        <v>16</v>
      </c>
      <c r="E74" s="90" t="s">
        <v>17</v>
      </c>
      <c r="F74" s="90" t="s">
        <v>18</v>
      </c>
      <c r="G74" s="90" t="s">
        <v>19</v>
      </c>
      <c r="H74" s="90" t="s">
        <v>20</v>
      </c>
      <c r="I74" s="90" t="s">
        <v>21</v>
      </c>
      <c r="J74" s="90" t="s">
        <v>22</v>
      </c>
      <c r="K74" s="90" t="s">
        <v>23</v>
      </c>
      <c r="L74" s="90" t="s">
        <v>24</v>
      </c>
      <c r="M74" s="90" t="s">
        <v>25</v>
      </c>
      <c r="N74" s="90" t="s">
        <v>26</v>
      </c>
      <c r="O74" s="90" t="s">
        <v>27</v>
      </c>
      <c r="P74" s="90" t="s">
        <v>28</v>
      </c>
      <c r="Q74" s="90" t="s">
        <v>29</v>
      </c>
      <c r="R74" s="27"/>
      <c r="CR74" s="28"/>
    </row>
    <row r="75" spans="1:96" ht="15" customHeight="1" x14ac:dyDescent="0.25">
      <c r="B75" s="91" t="s">
        <v>30</v>
      </c>
      <c r="C75" s="77"/>
      <c r="D75" s="110"/>
      <c r="E75" s="110"/>
      <c r="F75" s="110"/>
      <c r="G75" s="110"/>
      <c r="H75" s="110"/>
      <c r="I75" s="110"/>
      <c r="J75" s="110"/>
      <c r="K75" s="110"/>
      <c r="L75" s="110"/>
      <c r="M75" s="110"/>
      <c r="N75" s="110"/>
      <c r="O75" s="110"/>
      <c r="P75" s="110"/>
      <c r="Q75" s="111"/>
      <c r="R75" s="27"/>
      <c r="CR75" s="28"/>
    </row>
    <row r="76" spans="1:96" ht="15" customHeight="1" x14ac:dyDescent="0.25">
      <c r="B76" s="92" t="s">
        <v>16</v>
      </c>
      <c r="C76" s="75"/>
      <c r="D76" s="112">
        <v>2083</v>
      </c>
      <c r="E76" s="112">
        <v>1248</v>
      </c>
      <c r="F76" s="112">
        <v>185</v>
      </c>
      <c r="G76" s="112">
        <v>79</v>
      </c>
      <c r="H76" s="112">
        <v>19</v>
      </c>
      <c r="I76" s="112">
        <v>3</v>
      </c>
      <c r="J76" s="112">
        <v>5</v>
      </c>
      <c r="K76" s="112">
        <v>4</v>
      </c>
      <c r="L76" s="112">
        <v>2</v>
      </c>
      <c r="M76" s="112">
        <v>0</v>
      </c>
      <c r="N76" s="112">
        <v>0</v>
      </c>
      <c r="O76" s="112">
        <v>0</v>
      </c>
      <c r="P76" s="112">
        <v>0</v>
      </c>
      <c r="Q76" s="112">
        <v>0</v>
      </c>
      <c r="R76" s="26" t="s">
        <v>195</v>
      </c>
      <c r="CR76" s="28"/>
    </row>
    <row r="77" spans="1:96" ht="15" customHeight="1" x14ac:dyDescent="0.25">
      <c r="B77" s="90" t="s">
        <v>17</v>
      </c>
      <c r="C77" s="75"/>
      <c r="D77" s="112">
        <v>111</v>
      </c>
      <c r="E77" s="112">
        <v>952</v>
      </c>
      <c r="F77" s="112">
        <v>492</v>
      </c>
      <c r="G77" s="112">
        <v>43</v>
      </c>
      <c r="H77" s="112">
        <v>19</v>
      </c>
      <c r="I77" s="112">
        <v>27</v>
      </c>
      <c r="J77" s="112">
        <v>44</v>
      </c>
      <c r="K77" s="112">
        <v>1</v>
      </c>
      <c r="L77" s="112">
        <v>0</v>
      </c>
      <c r="M77" s="112">
        <v>2</v>
      </c>
      <c r="N77" s="112">
        <v>0</v>
      </c>
      <c r="O77" s="112">
        <v>0</v>
      </c>
      <c r="P77" s="112">
        <v>0</v>
      </c>
      <c r="Q77" s="112">
        <v>0</v>
      </c>
      <c r="R77" s="26" t="s">
        <v>196</v>
      </c>
      <c r="CR77" s="28"/>
    </row>
    <row r="78" spans="1:96" ht="15" customHeight="1" x14ac:dyDescent="0.25">
      <c r="B78" s="90" t="s">
        <v>18</v>
      </c>
      <c r="C78" s="75"/>
      <c r="D78" s="112">
        <v>29</v>
      </c>
      <c r="E78" s="112">
        <v>120</v>
      </c>
      <c r="F78" s="112">
        <v>436</v>
      </c>
      <c r="G78" s="112">
        <v>197</v>
      </c>
      <c r="H78" s="112">
        <v>14</v>
      </c>
      <c r="I78" s="112">
        <v>21</v>
      </c>
      <c r="J78" s="112">
        <v>27</v>
      </c>
      <c r="K78" s="112">
        <v>1</v>
      </c>
      <c r="L78" s="112">
        <v>0</v>
      </c>
      <c r="M78" s="112">
        <v>0</v>
      </c>
      <c r="N78" s="112">
        <v>0</v>
      </c>
      <c r="O78" s="112">
        <v>0</v>
      </c>
      <c r="P78" s="112">
        <v>0</v>
      </c>
      <c r="Q78" s="112">
        <v>0</v>
      </c>
      <c r="R78" s="26" t="s">
        <v>197</v>
      </c>
      <c r="CR78" s="28"/>
    </row>
    <row r="79" spans="1:96" ht="15" customHeight="1" x14ac:dyDescent="0.25">
      <c r="B79" s="90" t="s">
        <v>19</v>
      </c>
      <c r="C79" s="75"/>
      <c r="D79" s="112">
        <v>17</v>
      </c>
      <c r="E79" s="112">
        <v>21</v>
      </c>
      <c r="F79" s="112">
        <v>78</v>
      </c>
      <c r="G79" s="112">
        <v>270</v>
      </c>
      <c r="H79" s="112">
        <v>88</v>
      </c>
      <c r="I79" s="112">
        <v>6</v>
      </c>
      <c r="J79" s="112">
        <v>18</v>
      </c>
      <c r="K79" s="112">
        <v>23</v>
      </c>
      <c r="L79" s="112">
        <v>2</v>
      </c>
      <c r="M79" s="112">
        <v>2</v>
      </c>
      <c r="N79" s="112">
        <v>0</v>
      </c>
      <c r="O79" s="112">
        <v>0</v>
      </c>
      <c r="P79" s="112">
        <v>0</v>
      </c>
      <c r="Q79" s="112">
        <v>0</v>
      </c>
      <c r="R79" s="26" t="s">
        <v>198</v>
      </c>
      <c r="CR79" s="28"/>
    </row>
    <row r="80" spans="1:96" ht="15" customHeight="1" x14ac:dyDescent="0.25">
      <c r="B80" s="90" t="s">
        <v>20</v>
      </c>
      <c r="C80" s="75"/>
      <c r="D80" s="112">
        <v>11</v>
      </c>
      <c r="E80" s="112">
        <v>7</v>
      </c>
      <c r="F80" s="112">
        <v>10</v>
      </c>
      <c r="G80" s="112">
        <v>129</v>
      </c>
      <c r="H80" s="112">
        <v>183</v>
      </c>
      <c r="I80" s="112">
        <v>151</v>
      </c>
      <c r="J80" s="112">
        <v>25</v>
      </c>
      <c r="K80" s="112">
        <v>1</v>
      </c>
      <c r="L80" s="112">
        <v>3</v>
      </c>
      <c r="M80" s="112">
        <v>13</v>
      </c>
      <c r="N80" s="112">
        <v>0</v>
      </c>
      <c r="O80" s="112">
        <v>0</v>
      </c>
      <c r="P80" s="112">
        <v>0</v>
      </c>
      <c r="Q80" s="112">
        <v>0</v>
      </c>
      <c r="R80" s="26" t="s">
        <v>199</v>
      </c>
      <c r="CR80" s="28"/>
    </row>
    <row r="81" spans="1:18" s="93" customFormat="1" ht="15" customHeight="1" x14ac:dyDescent="0.25">
      <c r="B81" s="90" t="s">
        <v>21</v>
      </c>
      <c r="C81" s="75"/>
      <c r="D81" s="112">
        <v>4</v>
      </c>
      <c r="E81" s="112">
        <v>2</v>
      </c>
      <c r="F81" s="112">
        <v>0</v>
      </c>
      <c r="G81" s="112">
        <v>3</v>
      </c>
      <c r="H81" s="112">
        <v>63</v>
      </c>
      <c r="I81" s="112">
        <v>145</v>
      </c>
      <c r="J81" s="112">
        <v>76</v>
      </c>
      <c r="K81" s="112">
        <v>14</v>
      </c>
      <c r="L81" s="112">
        <v>1</v>
      </c>
      <c r="M81" s="112">
        <v>0</v>
      </c>
      <c r="N81" s="112">
        <v>0</v>
      </c>
      <c r="O81" s="112">
        <v>0</v>
      </c>
      <c r="P81" s="112">
        <v>0</v>
      </c>
      <c r="Q81" s="112">
        <v>0</v>
      </c>
      <c r="R81" s="26" t="s">
        <v>200</v>
      </c>
    </row>
    <row r="82" spans="1:18" s="93" customFormat="1" ht="15" customHeight="1" x14ac:dyDescent="0.25">
      <c r="A82" s="95"/>
      <c r="B82" s="90" t="s">
        <v>22</v>
      </c>
      <c r="C82" s="75"/>
      <c r="D82" s="112">
        <v>0</v>
      </c>
      <c r="E82" s="112">
        <v>3</v>
      </c>
      <c r="F82" s="112">
        <v>1</v>
      </c>
      <c r="G82" s="112">
        <v>0</v>
      </c>
      <c r="H82" s="112">
        <v>31</v>
      </c>
      <c r="I82" s="112">
        <v>128</v>
      </c>
      <c r="J82" s="112">
        <v>167</v>
      </c>
      <c r="K82" s="112">
        <v>54</v>
      </c>
      <c r="L82" s="112">
        <v>0</v>
      </c>
      <c r="M82" s="112">
        <v>0</v>
      </c>
      <c r="N82" s="112">
        <v>0</v>
      </c>
      <c r="O82" s="112">
        <v>0</v>
      </c>
      <c r="P82" s="112">
        <v>0</v>
      </c>
      <c r="Q82" s="112">
        <v>0</v>
      </c>
      <c r="R82" s="26" t="s">
        <v>201</v>
      </c>
    </row>
    <row r="83" spans="1:18" s="93" customFormat="1" ht="15" customHeight="1" x14ac:dyDescent="0.25">
      <c r="A83" s="96"/>
      <c r="B83" s="90" t="s">
        <v>23</v>
      </c>
      <c r="C83" s="75"/>
      <c r="D83" s="112">
        <v>0</v>
      </c>
      <c r="E83" s="112">
        <v>4</v>
      </c>
      <c r="F83" s="112">
        <v>4</v>
      </c>
      <c r="G83" s="112">
        <v>1</v>
      </c>
      <c r="H83" s="112">
        <v>4</v>
      </c>
      <c r="I83" s="112">
        <v>0</v>
      </c>
      <c r="J83" s="112">
        <v>12</v>
      </c>
      <c r="K83" s="112">
        <v>74</v>
      </c>
      <c r="L83" s="112">
        <v>55</v>
      </c>
      <c r="M83" s="112">
        <v>20</v>
      </c>
      <c r="N83" s="112">
        <v>0</v>
      </c>
      <c r="O83" s="112">
        <v>0</v>
      </c>
      <c r="P83" s="112">
        <v>0</v>
      </c>
      <c r="Q83" s="112">
        <v>0</v>
      </c>
      <c r="R83" s="26" t="s">
        <v>202</v>
      </c>
    </row>
    <row r="84" spans="1:18" ht="15" customHeight="1" x14ac:dyDescent="0.25">
      <c r="B84" s="90" t="s">
        <v>24</v>
      </c>
      <c r="C84" s="75"/>
      <c r="D84" s="112">
        <v>0</v>
      </c>
      <c r="E84" s="112">
        <v>3</v>
      </c>
      <c r="F84" s="112">
        <v>2</v>
      </c>
      <c r="G84" s="112">
        <v>0</v>
      </c>
      <c r="H84" s="112">
        <v>0</v>
      </c>
      <c r="I84" s="112">
        <v>0</v>
      </c>
      <c r="J84" s="112">
        <v>30</v>
      </c>
      <c r="K84" s="112">
        <v>22</v>
      </c>
      <c r="L84" s="112">
        <v>6</v>
      </c>
      <c r="M84" s="112">
        <v>6</v>
      </c>
      <c r="N84" s="112">
        <v>1</v>
      </c>
      <c r="O84" s="112">
        <v>0</v>
      </c>
      <c r="P84" s="112">
        <v>0</v>
      </c>
      <c r="Q84" s="112">
        <v>0</v>
      </c>
      <c r="R84" s="26" t="s">
        <v>203</v>
      </c>
    </row>
    <row r="85" spans="1:18" ht="15" customHeight="1" x14ac:dyDescent="0.25">
      <c r="B85" s="90" t="s">
        <v>25</v>
      </c>
      <c r="C85" s="75"/>
      <c r="D85" s="112">
        <v>0</v>
      </c>
      <c r="E85" s="112">
        <v>0</v>
      </c>
      <c r="F85" s="112">
        <v>0</v>
      </c>
      <c r="G85" s="112">
        <v>0</v>
      </c>
      <c r="H85" s="112">
        <v>0</v>
      </c>
      <c r="I85" s="112">
        <v>0</v>
      </c>
      <c r="J85" s="112">
        <v>0</v>
      </c>
      <c r="K85" s="112">
        <v>0</v>
      </c>
      <c r="L85" s="112">
        <v>0</v>
      </c>
      <c r="M85" s="112">
        <v>0</v>
      </c>
      <c r="N85" s="112">
        <v>0</v>
      </c>
      <c r="O85" s="112">
        <v>0</v>
      </c>
      <c r="P85" s="112">
        <v>0</v>
      </c>
      <c r="Q85" s="112">
        <v>0</v>
      </c>
      <c r="R85" s="26" t="s">
        <v>204</v>
      </c>
    </row>
    <row r="86" spans="1:18" ht="15" customHeight="1" x14ac:dyDescent="0.25">
      <c r="B86" s="90" t="s">
        <v>26</v>
      </c>
      <c r="C86" s="75"/>
      <c r="D86" s="112">
        <v>0</v>
      </c>
      <c r="E86" s="112">
        <v>0</v>
      </c>
      <c r="F86" s="112">
        <v>0</v>
      </c>
      <c r="G86" s="112">
        <v>0</v>
      </c>
      <c r="H86" s="112">
        <v>0</v>
      </c>
      <c r="I86" s="112">
        <v>0</v>
      </c>
      <c r="J86" s="112">
        <v>0</v>
      </c>
      <c r="K86" s="112">
        <v>0</v>
      </c>
      <c r="L86" s="112">
        <v>0</v>
      </c>
      <c r="M86" s="112">
        <v>0</v>
      </c>
      <c r="N86" s="112">
        <v>0</v>
      </c>
      <c r="O86" s="112">
        <v>0</v>
      </c>
      <c r="P86" s="112">
        <v>0</v>
      </c>
      <c r="Q86" s="112">
        <v>0</v>
      </c>
      <c r="R86" s="26" t="s">
        <v>205</v>
      </c>
    </row>
    <row r="87" spans="1:18" ht="15" customHeight="1" x14ac:dyDescent="0.25">
      <c r="B87" s="90" t="s">
        <v>27</v>
      </c>
      <c r="C87" s="75"/>
      <c r="D87" s="112">
        <v>0</v>
      </c>
      <c r="E87" s="112">
        <v>0</v>
      </c>
      <c r="F87" s="112">
        <v>0</v>
      </c>
      <c r="G87" s="112">
        <v>0</v>
      </c>
      <c r="H87" s="112">
        <v>0</v>
      </c>
      <c r="I87" s="112">
        <v>0</v>
      </c>
      <c r="J87" s="112">
        <v>0</v>
      </c>
      <c r="K87" s="112">
        <v>0</v>
      </c>
      <c r="L87" s="112">
        <v>0</v>
      </c>
      <c r="M87" s="112">
        <v>0</v>
      </c>
      <c r="N87" s="112">
        <v>0</v>
      </c>
      <c r="O87" s="112">
        <v>0</v>
      </c>
      <c r="P87" s="112">
        <v>0</v>
      </c>
      <c r="Q87" s="112">
        <v>0</v>
      </c>
      <c r="R87" s="26" t="s">
        <v>206</v>
      </c>
    </row>
    <row r="88" spans="1:18" s="9" customFormat="1" ht="15" customHeight="1" x14ac:dyDescent="0.25">
      <c r="B88" s="90" t="s">
        <v>28</v>
      </c>
      <c r="C88" s="75"/>
      <c r="D88" s="112">
        <v>0</v>
      </c>
      <c r="E88" s="112">
        <v>0</v>
      </c>
      <c r="F88" s="112">
        <v>0</v>
      </c>
      <c r="G88" s="112">
        <v>0</v>
      </c>
      <c r="H88" s="112">
        <v>0</v>
      </c>
      <c r="I88" s="112">
        <v>0</v>
      </c>
      <c r="J88" s="112">
        <v>0</v>
      </c>
      <c r="K88" s="112">
        <v>0</v>
      </c>
      <c r="L88" s="112">
        <v>0</v>
      </c>
      <c r="M88" s="112">
        <v>0</v>
      </c>
      <c r="N88" s="112">
        <v>0</v>
      </c>
      <c r="O88" s="112">
        <v>0</v>
      </c>
      <c r="P88" s="112">
        <v>0</v>
      </c>
      <c r="Q88" s="112">
        <v>0</v>
      </c>
      <c r="R88" s="26" t="s">
        <v>207</v>
      </c>
    </row>
    <row r="89" spans="1:18" s="9" customFormat="1" ht="15" customHeight="1" x14ac:dyDescent="0.25">
      <c r="B89" s="90" t="s">
        <v>29</v>
      </c>
      <c r="C89" s="78"/>
      <c r="D89" s="112">
        <v>0</v>
      </c>
      <c r="E89" s="112">
        <v>0</v>
      </c>
      <c r="F89" s="112">
        <v>0</v>
      </c>
      <c r="G89" s="112">
        <v>0</v>
      </c>
      <c r="H89" s="112">
        <v>0</v>
      </c>
      <c r="I89" s="112">
        <v>0</v>
      </c>
      <c r="J89" s="112">
        <v>0</v>
      </c>
      <c r="K89" s="112">
        <v>0</v>
      </c>
      <c r="L89" s="112">
        <v>0</v>
      </c>
      <c r="M89" s="112">
        <v>0</v>
      </c>
      <c r="N89" s="112">
        <v>0</v>
      </c>
      <c r="O89" s="112">
        <v>0</v>
      </c>
      <c r="P89" s="112">
        <v>0</v>
      </c>
      <c r="Q89" s="112">
        <v>0</v>
      </c>
      <c r="R89" s="26" t="s">
        <v>208</v>
      </c>
    </row>
    <row r="90" spans="1:18" ht="15" customHeight="1" x14ac:dyDescent="0.25"/>
    <row r="91" spans="1:18" s="2" customFormat="1" ht="18.75" x14ac:dyDescent="0.3">
      <c r="B91" s="2" t="s">
        <v>61</v>
      </c>
    </row>
    <row r="92" spans="1:18" s="93" customFormat="1" ht="15" customHeight="1" x14ac:dyDescent="0.25">
      <c r="B92" s="97"/>
    </row>
    <row r="93" spans="1:18" s="93" customFormat="1" ht="15" customHeight="1" x14ac:dyDescent="0.25">
      <c r="B93" s="98" t="s">
        <v>461</v>
      </c>
      <c r="C93" s="98"/>
      <c r="D93" s="99">
        <v>2010</v>
      </c>
      <c r="E93" s="28" t="s">
        <v>462</v>
      </c>
    </row>
    <row r="94" spans="1:18" s="93" customFormat="1" ht="15" customHeight="1" x14ac:dyDescent="0.25">
      <c r="B94" s="98" t="s">
        <v>463</v>
      </c>
      <c r="C94" s="98"/>
      <c r="D94" s="99">
        <v>2010</v>
      </c>
      <c r="E94" s="28" t="s">
        <v>464</v>
      </c>
    </row>
    <row r="95" spans="1:18" ht="15" customHeight="1" x14ac:dyDescent="0.25">
      <c r="B95" s="89" t="s">
        <v>627</v>
      </c>
      <c r="D95" s="79">
        <v>2.2999999999999998</v>
      </c>
      <c r="E95" s="28" t="s">
        <v>628</v>
      </c>
      <c r="F95" s="28"/>
    </row>
    <row r="96" spans="1:18" s="93" customFormat="1" ht="15" customHeight="1" x14ac:dyDescent="0.25">
      <c r="B96" s="97"/>
    </row>
    <row r="97" spans="2:44" s="5" customFormat="1" ht="15.75" x14ac:dyDescent="0.25">
      <c r="B97" s="5" t="s">
        <v>62</v>
      </c>
    </row>
    <row r="98" spans="2:44" ht="15" customHeight="1" x14ac:dyDescent="0.25">
      <c r="C98" s="100"/>
      <c r="D98" s="28"/>
      <c r="E98" s="28"/>
    </row>
    <row r="99" spans="2:44" ht="15" customHeight="1" x14ac:dyDescent="0.25">
      <c r="B99" s="187" t="s">
        <v>63</v>
      </c>
      <c r="D99" s="81" t="s">
        <v>64</v>
      </c>
      <c r="E99" s="80">
        <v>45</v>
      </c>
      <c r="F99" s="80">
        <v>46</v>
      </c>
      <c r="G99" s="80">
        <v>47</v>
      </c>
      <c r="H99" s="80">
        <v>48</v>
      </c>
      <c r="I99" s="80">
        <v>49</v>
      </c>
      <c r="J99" s="80">
        <v>50</v>
      </c>
      <c r="K99" s="80">
        <v>51</v>
      </c>
      <c r="L99" s="80">
        <v>52</v>
      </c>
      <c r="M99" s="80">
        <v>53</v>
      </c>
      <c r="N99" s="80">
        <v>54</v>
      </c>
      <c r="O99" s="80">
        <v>55</v>
      </c>
      <c r="P99" s="80">
        <v>56</v>
      </c>
      <c r="Q99" s="80">
        <v>57</v>
      </c>
      <c r="R99" s="80">
        <v>58</v>
      </c>
      <c r="S99" s="80">
        <v>59</v>
      </c>
      <c r="T99" s="80">
        <v>60</v>
      </c>
      <c r="U99" s="80">
        <v>61</v>
      </c>
      <c r="V99" s="80">
        <v>62</v>
      </c>
      <c r="W99" s="80">
        <v>63</v>
      </c>
      <c r="X99" s="80">
        <v>64</v>
      </c>
      <c r="Y99" s="80">
        <v>65</v>
      </c>
      <c r="Z99" s="80">
        <v>66</v>
      </c>
      <c r="AA99" s="80">
        <v>67</v>
      </c>
      <c r="AB99" s="80">
        <v>68</v>
      </c>
      <c r="AC99" s="80">
        <v>69</v>
      </c>
      <c r="AD99" s="80">
        <v>70</v>
      </c>
      <c r="AE99" s="80">
        <v>71</v>
      </c>
      <c r="AF99" s="80">
        <v>72</v>
      </c>
      <c r="AG99" s="80">
        <v>73</v>
      </c>
      <c r="AH99" s="80">
        <v>74</v>
      </c>
      <c r="AI99" s="80">
        <v>75</v>
      </c>
      <c r="AJ99" s="80">
        <v>76</v>
      </c>
      <c r="AK99" s="80">
        <v>77</v>
      </c>
      <c r="AL99" s="80">
        <v>78</v>
      </c>
      <c r="AM99" s="80">
        <v>79</v>
      </c>
      <c r="AN99" s="80">
        <v>80</v>
      </c>
      <c r="AO99" s="80">
        <v>81</v>
      </c>
      <c r="AP99" s="80">
        <v>82</v>
      </c>
      <c r="AQ99" s="80">
        <v>83</v>
      </c>
    </row>
    <row r="100" spans="2:44" ht="15" customHeight="1" x14ac:dyDescent="0.25">
      <c r="B100" s="187"/>
      <c r="D100" s="81">
        <v>45</v>
      </c>
      <c r="E100" s="80">
        <v>46</v>
      </c>
      <c r="F100" s="81">
        <v>47</v>
      </c>
      <c r="G100" s="80">
        <v>48</v>
      </c>
      <c r="H100" s="81">
        <v>49</v>
      </c>
      <c r="I100" s="80">
        <v>50</v>
      </c>
      <c r="J100" s="81">
        <v>51</v>
      </c>
      <c r="K100" s="80">
        <v>52</v>
      </c>
      <c r="L100" s="81">
        <v>53</v>
      </c>
      <c r="M100" s="80">
        <v>54</v>
      </c>
      <c r="N100" s="81">
        <v>55</v>
      </c>
      <c r="O100" s="80">
        <v>56</v>
      </c>
      <c r="P100" s="81">
        <v>57</v>
      </c>
      <c r="Q100" s="80">
        <v>58</v>
      </c>
      <c r="R100" s="81">
        <v>59</v>
      </c>
      <c r="S100" s="80">
        <v>60</v>
      </c>
      <c r="T100" s="81">
        <v>61</v>
      </c>
      <c r="U100" s="80">
        <v>62</v>
      </c>
      <c r="V100" s="81">
        <v>63</v>
      </c>
      <c r="W100" s="80">
        <v>64</v>
      </c>
      <c r="X100" s="81">
        <v>65</v>
      </c>
      <c r="Y100" s="80">
        <v>66</v>
      </c>
      <c r="Z100" s="81">
        <v>67</v>
      </c>
      <c r="AA100" s="80">
        <v>68</v>
      </c>
      <c r="AB100" s="81">
        <v>69</v>
      </c>
      <c r="AC100" s="80">
        <v>70</v>
      </c>
      <c r="AD100" s="81">
        <v>71</v>
      </c>
      <c r="AE100" s="80">
        <v>72</v>
      </c>
      <c r="AF100" s="81">
        <v>73</v>
      </c>
      <c r="AG100" s="80">
        <v>74</v>
      </c>
      <c r="AH100" s="81">
        <v>75</v>
      </c>
      <c r="AI100" s="80">
        <v>76</v>
      </c>
      <c r="AJ100" s="81">
        <v>77</v>
      </c>
      <c r="AK100" s="80">
        <v>78</v>
      </c>
      <c r="AL100" s="81">
        <v>79</v>
      </c>
      <c r="AM100" s="80">
        <v>80</v>
      </c>
      <c r="AN100" s="81">
        <v>81</v>
      </c>
      <c r="AO100" s="80">
        <v>82</v>
      </c>
      <c r="AP100" s="81">
        <v>83</v>
      </c>
      <c r="AQ100" s="80">
        <v>84</v>
      </c>
    </row>
    <row r="101" spans="2:44" ht="15" customHeight="1" x14ac:dyDescent="0.25">
      <c r="B101" s="101" t="s">
        <v>65</v>
      </c>
      <c r="D101" s="82">
        <v>0</v>
      </c>
      <c r="E101" s="82">
        <v>0</v>
      </c>
      <c r="F101" s="82">
        <v>0</v>
      </c>
      <c r="G101" s="82">
        <v>0</v>
      </c>
      <c r="H101" s="82">
        <v>0</v>
      </c>
      <c r="I101" s="82">
        <v>0</v>
      </c>
      <c r="J101" s="82">
        <v>0</v>
      </c>
      <c r="K101" s="82">
        <v>0</v>
      </c>
      <c r="L101" s="82">
        <v>22.966594451939887</v>
      </c>
      <c r="M101" s="82">
        <v>25.043921466269797</v>
      </c>
      <c r="N101" s="82">
        <v>27.12124848059695</v>
      </c>
      <c r="O101" s="82">
        <v>29.198575494926555</v>
      </c>
      <c r="P101" s="82">
        <v>31.275902509254919</v>
      </c>
      <c r="Q101" s="82">
        <v>33.353229523583295</v>
      </c>
      <c r="R101" s="82">
        <v>35.430556537911983</v>
      </c>
      <c r="S101" s="82">
        <v>37.507883552240656</v>
      </c>
      <c r="T101" s="82">
        <v>39.585210566570268</v>
      </c>
      <c r="U101" s="82">
        <v>41.662537580897414</v>
      </c>
      <c r="V101" s="82">
        <v>43.73986459522763</v>
      </c>
      <c r="W101" s="82">
        <v>45.817191609556005</v>
      </c>
      <c r="X101" s="82">
        <v>47.894518623884998</v>
      </c>
      <c r="Y101" s="82">
        <v>49.971845638212137</v>
      </c>
      <c r="Z101" s="82">
        <v>52.049172652541742</v>
      </c>
      <c r="AA101" s="82">
        <v>54.126499666870117</v>
      </c>
      <c r="AB101" s="82">
        <v>56.203826681198493</v>
      </c>
      <c r="AC101" s="82">
        <v>58.281153695528097</v>
      </c>
      <c r="AD101" s="82">
        <v>60.358480709856472</v>
      </c>
      <c r="AE101" s="82">
        <v>62.435807724184848</v>
      </c>
      <c r="AF101" s="82">
        <v>64.51313473851323</v>
      </c>
      <c r="AG101" s="82">
        <v>66.590461752843439</v>
      </c>
      <c r="AH101" s="82">
        <v>68.667788767170592</v>
      </c>
      <c r="AI101" s="82">
        <v>68.667788767170592</v>
      </c>
      <c r="AJ101" s="82">
        <v>68.667788767170592</v>
      </c>
      <c r="AK101" s="82">
        <v>68.667788767170592</v>
      </c>
      <c r="AL101" s="82">
        <v>68.667788767170592</v>
      </c>
      <c r="AM101" s="82">
        <v>68.667788767170592</v>
      </c>
      <c r="AN101" s="82">
        <v>68.667788767170592</v>
      </c>
      <c r="AO101" s="82">
        <v>68.667788767170592</v>
      </c>
      <c r="AP101" s="82">
        <v>68.667788767170606</v>
      </c>
      <c r="AQ101" s="82">
        <v>68.667788767170606</v>
      </c>
      <c r="AR101" s="28" t="s">
        <v>613</v>
      </c>
    </row>
    <row r="102" spans="2:44" ht="15" customHeight="1" x14ac:dyDescent="0.25">
      <c r="B102" s="101" t="s">
        <v>66</v>
      </c>
      <c r="D102" s="82">
        <v>0</v>
      </c>
      <c r="E102" s="82">
        <v>10.107599562128273</v>
      </c>
      <c r="F102" s="82">
        <v>10.294081087129349</v>
      </c>
      <c r="G102" s="82">
        <v>10.594232877476344</v>
      </c>
      <c r="H102" s="82">
        <v>11.008054933169465</v>
      </c>
      <c r="I102" s="82">
        <v>11.535547254208529</v>
      </c>
      <c r="J102" s="82">
        <v>12.176709840593574</v>
      </c>
      <c r="K102" s="82">
        <v>12.931542692324554</v>
      </c>
      <c r="L102" s="82">
        <v>13.800045809401656</v>
      </c>
      <c r="M102" s="82">
        <v>14.7822191918247</v>
      </c>
      <c r="N102" s="82">
        <v>15.878062839593774</v>
      </c>
      <c r="O102" s="82">
        <v>17.087576752708589</v>
      </c>
      <c r="P102" s="82">
        <v>18.410760931169772</v>
      </c>
      <c r="Q102" s="82">
        <v>19.847615374976826</v>
      </c>
      <c r="R102" s="82">
        <v>21.3981400841298</v>
      </c>
      <c r="S102" s="82">
        <v>23.062335058628651</v>
      </c>
      <c r="T102" s="82">
        <v>24.840200298473775</v>
      </c>
      <c r="U102" s="82">
        <v>26.731735803664865</v>
      </c>
      <c r="V102" s="82">
        <v>28.736941574201566</v>
      </c>
      <c r="W102" s="82">
        <v>30.855817610084845</v>
      </c>
      <c r="X102" s="82">
        <v>33.088363911313742</v>
      </c>
      <c r="Y102" s="82">
        <v>35.434580477888687</v>
      </c>
      <c r="Z102" s="82">
        <v>37.894467309809684</v>
      </c>
      <c r="AA102" s="82">
        <v>40.468024407076733</v>
      </c>
      <c r="AB102" s="82">
        <v>43.155251769689656</v>
      </c>
      <c r="AC102" s="82">
        <v>45.95614939764863</v>
      </c>
      <c r="AD102" s="82">
        <v>48.870717290952697</v>
      </c>
      <c r="AE102" s="82">
        <v>51.898955449604486</v>
      </c>
      <c r="AF102" s="82">
        <v>55.040863873601545</v>
      </c>
      <c r="AG102" s="82">
        <v>58.296442562944115</v>
      </c>
      <c r="AH102" s="82">
        <v>61.665691517633604</v>
      </c>
      <c r="AI102" s="82">
        <v>65.148610737668108</v>
      </c>
      <c r="AJ102" s="82">
        <v>65.148610737668108</v>
      </c>
      <c r="AK102" s="82">
        <v>65.148610737668108</v>
      </c>
      <c r="AL102" s="82">
        <v>65.148610737668108</v>
      </c>
      <c r="AM102" s="82">
        <v>65.148610737668108</v>
      </c>
      <c r="AN102" s="82">
        <v>65.148610737668108</v>
      </c>
      <c r="AO102" s="82">
        <v>65.148610737668108</v>
      </c>
      <c r="AP102" s="82">
        <v>65.148610737668093</v>
      </c>
      <c r="AQ102" s="82">
        <v>65.148610737668093</v>
      </c>
      <c r="AR102" s="28" t="s">
        <v>107</v>
      </c>
    </row>
    <row r="103" spans="2:44" ht="15" customHeight="1" x14ac:dyDescent="0.25">
      <c r="B103" s="101" t="s">
        <v>67</v>
      </c>
      <c r="D103" s="82">
        <v>0</v>
      </c>
      <c r="E103" s="82">
        <v>0</v>
      </c>
      <c r="F103" s="82">
        <v>0</v>
      </c>
      <c r="G103" s="82">
        <v>0</v>
      </c>
      <c r="H103" s="82">
        <v>0</v>
      </c>
      <c r="I103" s="82">
        <v>0</v>
      </c>
      <c r="J103" s="82">
        <v>0</v>
      </c>
      <c r="K103" s="82">
        <v>0</v>
      </c>
      <c r="L103" s="82">
        <v>0</v>
      </c>
      <c r="M103" s="82">
        <v>0</v>
      </c>
      <c r="N103" s="82">
        <v>0</v>
      </c>
      <c r="O103" s="82">
        <v>0</v>
      </c>
      <c r="P103" s="82">
        <v>1.3887764027048999</v>
      </c>
      <c r="Q103" s="82">
        <v>2.7457791783092356</v>
      </c>
      <c r="R103" s="82">
        <v>3.8879927221160657</v>
      </c>
      <c r="S103" s="82">
        <v>5.0655919827628795</v>
      </c>
      <c r="T103" s="82">
        <v>6.2785769602505104</v>
      </c>
      <c r="U103" s="82">
        <v>7.5269476545775031</v>
      </c>
      <c r="V103" s="82">
        <v>8.8107040657455169</v>
      </c>
      <c r="W103" s="82">
        <v>10.129846193754142</v>
      </c>
      <c r="X103" s="82">
        <v>11.484374038602335</v>
      </c>
      <c r="Y103" s="82">
        <v>12.874287600290511</v>
      </c>
      <c r="Z103" s="82">
        <v>14.299586878819927</v>
      </c>
      <c r="AA103" s="82">
        <v>15.760271874190154</v>
      </c>
      <c r="AB103" s="82">
        <v>17.256342586399118</v>
      </c>
      <c r="AC103" s="82">
        <v>18.787799015448897</v>
      </c>
      <c r="AD103" s="82">
        <v>20.354641161339497</v>
      </c>
      <c r="AE103" s="82">
        <v>21.956869024070496</v>
      </c>
      <c r="AF103" s="82">
        <v>23.594482603641474</v>
      </c>
      <c r="AG103" s="82">
        <v>25.267481900052438</v>
      </c>
      <c r="AH103" s="82">
        <v>26.975866913303815</v>
      </c>
      <c r="AI103" s="82">
        <v>28.719637643396407</v>
      </c>
      <c r="AJ103" s="82">
        <v>30.498794090328168</v>
      </c>
      <c r="AK103" s="82">
        <v>32.313336254100733</v>
      </c>
      <c r="AL103" s="82">
        <v>34.163264134714112</v>
      </c>
      <c r="AM103" s="82">
        <v>34.163264134714112</v>
      </c>
      <c r="AN103" s="82">
        <v>34.163264134714112</v>
      </c>
      <c r="AO103" s="82">
        <v>34.163264134714112</v>
      </c>
      <c r="AP103" s="82">
        <v>34.163264134714098</v>
      </c>
      <c r="AQ103" s="82">
        <v>34.163264134714098</v>
      </c>
      <c r="AR103" s="28" t="s">
        <v>108</v>
      </c>
    </row>
    <row r="104" spans="2:44" ht="15" customHeight="1" x14ac:dyDescent="0.25">
      <c r="B104" s="101" t="s">
        <v>68</v>
      </c>
      <c r="D104" s="82">
        <v>0</v>
      </c>
      <c r="E104" s="82">
        <v>0</v>
      </c>
      <c r="F104" s="82">
        <v>0</v>
      </c>
      <c r="G104" s="82">
        <v>2.3257421321462388</v>
      </c>
      <c r="H104" s="82">
        <v>2.3315782167898909</v>
      </c>
      <c r="I104" s="82">
        <v>2.3374308592902375</v>
      </c>
      <c r="J104" s="82">
        <v>2.3433001129605553</v>
      </c>
      <c r="K104" s="82">
        <v>2.3491860313062767</v>
      </c>
      <c r="L104" s="82">
        <v>2.3550886680258589</v>
      </c>
      <c r="M104" s="82">
        <v>2.3610080770116246</v>
      </c>
      <c r="N104" s="82">
        <v>2.3669443123503542</v>
      </c>
      <c r="O104" s="82">
        <v>2.3728974283241939</v>
      </c>
      <c r="P104" s="82">
        <v>2.3788674794115026</v>
      </c>
      <c r="Q104" s="82">
        <v>2.3848545202872842</v>
      </c>
      <c r="R104" s="82">
        <v>2.3908586058243859</v>
      </c>
      <c r="S104" s="82">
        <v>2.3968797910940274</v>
      </c>
      <c r="T104" s="82">
        <v>2.4029181313666008</v>
      </c>
      <c r="U104" s="82">
        <v>2.4089736821126051</v>
      </c>
      <c r="V104" s="82">
        <v>2.4150464990031679</v>
      </c>
      <c r="W104" s="82">
        <v>2.4211366379111423</v>
      </c>
      <c r="X104" s="82">
        <v>2.4272441549118775</v>
      </c>
      <c r="Y104" s="82">
        <v>2.4333691062835414</v>
      </c>
      <c r="Z104" s="82">
        <v>2.4395115485087397</v>
      </c>
      <c r="AA104" s="82">
        <v>2.445671538274365</v>
      </c>
      <c r="AB104" s="82">
        <v>2.4518491324735359</v>
      </c>
      <c r="AC104" s="82">
        <v>2.4580443882053387</v>
      </c>
      <c r="AD104" s="82">
        <v>2.4642573627761641</v>
      </c>
      <c r="AE104" s="82">
        <v>2.4704881137006183</v>
      </c>
      <c r="AF104" s="82">
        <v>2.4767366987021457</v>
      </c>
      <c r="AG104" s="82">
        <v>2.4830031757138524</v>
      </c>
      <c r="AH104" s="82">
        <v>2.4892876028795201</v>
      </c>
      <c r="AI104" s="82">
        <v>2.4955900385539564</v>
      </c>
      <c r="AJ104" s="82">
        <v>2.4955900385539564</v>
      </c>
      <c r="AK104" s="82">
        <v>2.4955900385539564</v>
      </c>
      <c r="AL104" s="82">
        <v>2.4955900385539564</v>
      </c>
      <c r="AM104" s="82">
        <v>2.4955900385539564</v>
      </c>
      <c r="AN104" s="82">
        <v>2.4955900385539564</v>
      </c>
      <c r="AO104" s="82">
        <v>2.4955900385539564</v>
      </c>
      <c r="AP104" s="82">
        <v>2.49559003855396</v>
      </c>
      <c r="AQ104" s="82">
        <v>2.49559003855396</v>
      </c>
      <c r="AR104" s="28" t="s">
        <v>109</v>
      </c>
    </row>
    <row r="105" spans="2:44" ht="15" customHeight="1" x14ac:dyDescent="0.25">
      <c r="B105" s="85" t="s">
        <v>69</v>
      </c>
      <c r="D105" s="82">
        <v>0</v>
      </c>
      <c r="E105" s="82">
        <v>0</v>
      </c>
      <c r="F105" s="82">
        <v>0</v>
      </c>
      <c r="G105" s="82">
        <v>3.5247969391350451</v>
      </c>
      <c r="H105" s="82">
        <v>3.5323165651015906</v>
      </c>
      <c r="I105" s="82">
        <v>3.5398529170119266</v>
      </c>
      <c r="J105" s="82">
        <v>3.5474060335686786</v>
      </c>
      <c r="K105" s="82">
        <v>3.5549759535671015</v>
      </c>
      <c r="L105" s="82">
        <v>3.5625627158955657</v>
      </c>
      <c r="M105" s="82">
        <v>3.5701663595357442</v>
      </c>
      <c r="N105" s="82">
        <v>3.5777869235628565</v>
      </c>
      <c r="O105" s="82">
        <v>3.5854244471456127</v>
      </c>
      <c r="P105" s="82">
        <v>3.5930789695473377</v>
      </c>
      <c r="Q105" s="82">
        <v>3.6007505301247922</v>
      </c>
      <c r="R105" s="82">
        <v>3.6084391683298116</v>
      </c>
      <c r="S105" s="82">
        <v>3.6161449237086267</v>
      </c>
      <c r="T105" s="82">
        <v>3.6238678359024621</v>
      </c>
      <c r="U105" s="82">
        <v>3.6316079446477305</v>
      </c>
      <c r="V105" s="82">
        <v>3.6393652897761455</v>
      </c>
      <c r="W105" s="82">
        <v>3.6471399112151368</v>
      </c>
      <c r="X105" s="82">
        <v>3.6549318489881442</v>
      </c>
      <c r="Y105" s="82">
        <v>3.6627411432143404</v>
      </c>
      <c r="Z105" s="82">
        <v>3.6705678341096757</v>
      </c>
      <c r="AA105" s="82">
        <v>3.6784119619861659</v>
      </c>
      <c r="AB105" s="82">
        <v>3.6862735672532803</v>
      </c>
      <c r="AC105" s="82">
        <v>3.6941526904171957</v>
      </c>
      <c r="AD105" s="82">
        <v>3.7020493720811571</v>
      </c>
      <c r="AE105" s="82">
        <v>3.709963652946394</v>
      </c>
      <c r="AF105" s="82">
        <v>3.7178955738118447</v>
      </c>
      <c r="AG105" s="82">
        <v>3.7258451755742428</v>
      </c>
      <c r="AH105" s="82">
        <v>3.7338124992289221</v>
      </c>
      <c r="AI105" s="82">
        <v>3.7417975858690871</v>
      </c>
      <c r="AJ105" s="82">
        <v>3.7417975858690871</v>
      </c>
      <c r="AK105" s="82">
        <v>3.7417975858690871</v>
      </c>
      <c r="AL105" s="82">
        <v>3.7417975858690871</v>
      </c>
      <c r="AM105" s="82">
        <v>3.7417975858690871</v>
      </c>
      <c r="AN105" s="82">
        <v>3.7417975858690871</v>
      </c>
      <c r="AO105" s="82">
        <v>3.7417975858690871</v>
      </c>
      <c r="AP105" s="82">
        <v>3.7417975858690902</v>
      </c>
      <c r="AQ105" s="82">
        <v>3.7417975858690902</v>
      </c>
      <c r="AR105" s="28" t="s">
        <v>110</v>
      </c>
    </row>
    <row r="106" spans="2:44" ht="15" customHeight="1" x14ac:dyDescent="0.25">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28"/>
    </row>
    <row r="107" spans="2:44" ht="15" customHeight="1" x14ac:dyDescent="0.25">
      <c r="B107" s="187" t="s">
        <v>70</v>
      </c>
      <c r="D107" s="81" t="s">
        <v>64</v>
      </c>
      <c r="E107" s="80">
        <v>45</v>
      </c>
      <c r="F107" s="80">
        <v>46</v>
      </c>
      <c r="G107" s="80">
        <v>47</v>
      </c>
      <c r="H107" s="80">
        <v>48</v>
      </c>
      <c r="I107" s="80">
        <v>49</v>
      </c>
      <c r="J107" s="80">
        <v>50</v>
      </c>
      <c r="K107" s="80">
        <v>51</v>
      </c>
      <c r="L107" s="80">
        <v>52</v>
      </c>
      <c r="M107" s="80">
        <v>53</v>
      </c>
      <c r="N107" s="80">
        <v>54</v>
      </c>
      <c r="O107" s="80">
        <v>55</v>
      </c>
      <c r="P107" s="80">
        <v>56</v>
      </c>
      <c r="Q107" s="80">
        <v>57</v>
      </c>
      <c r="R107" s="80">
        <v>58</v>
      </c>
      <c r="S107" s="80">
        <v>59</v>
      </c>
      <c r="T107" s="80">
        <v>60</v>
      </c>
      <c r="U107" s="80">
        <v>61</v>
      </c>
      <c r="V107" s="80">
        <v>62</v>
      </c>
      <c r="W107" s="80">
        <v>63</v>
      </c>
      <c r="X107" s="80">
        <v>64</v>
      </c>
      <c r="Y107" s="80">
        <v>65</v>
      </c>
      <c r="Z107" s="80">
        <v>66</v>
      </c>
      <c r="AA107" s="80">
        <v>67</v>
      </c>
      <c r="AB107" s="80">
        <v>68</v>
      </c>
      <c r="AC107" s="80">
        <v>69</v>
      </c>
      <c r="AD107" s="80">
        <v>70</v>
      </c>
      <c r="AE107" s="80">
        <v>71</v>
      </c>
      <c r="AF107" s="80">
        <v>72</v>
      </c>
      <c r="AG107" s="80">
        <v>73</v>
      </c>
      <c r="AH107" s="80">
        <v>74</v>
      </c>
      <c r="AI107" s="80">
        <v>75</v>
      </c>
      <c r="AJ107" s="80">
        <v>76</v>
      </c>
      <c r="AK107" s="80">
        <v>77</v>
      </c>
      <c r="AL107" s="80">
        <v>78</v>
      </c>
      <c r="AM107" s="80">
        <v>79</v>
      </c>
      <c r="AN107" s="80">
        <v>80</v>
      </c>
      <c r="AO107" s="80">
        <v>81</v>
      </c>
      <c r="AP107" s="80">
        <v>82</v>
      </c>
      <c r="AQ107" s="80">
        <v>83</v>
      </c>
      <c r="AR107" s="28"/>
    </row>
    <row r="108" spans="2:44" ht="15" customHeight="1" x14ac:dyDescent="0.25">
      <c r="B108" s="187"/>
      <c r="D108" s="81">
        <v>45</v>
      </c>
      <c r="E108" s="80">
        <v>46</v>
      </c>
      <c r="F108" s="81">
        <v>47</v>
      </c>
      <c r="G108" s="80">
        <v>48</v>
      </c>
      <c r="H108" s="81">
        <v>49</v>
      </c>
      <c r="I108" s="80">
        <v>50</v>
      </c>
      <c r="J108" s="81">
        <v>51</v>
      </c>
      <c r="K108" s="80">
        <v>52</v>
      </c>
      <c r="L108" s="81">
        <v>53</v>
      </c>
      <c r="M108" s="80">
        <v>54</v>
      </c>
      <c r="N108" s="81">
        <v>55</v>
      </c>
      <c r="O108" s="80">
        <v>56</v>
      </c>
      <c r="P108" s="81">
        <v>57</v>
      </c>
      <c r="Q108" s="80">
        <v>58</v>
      </c>
      <c r="R108" s="81">
        <v>59</v>
      </c>
      <c r="S108" s="80">
        <v>60</v>
      </c>
      <c r="T108" s="81">
        <v>61</v>
      </c>
      <c r="U108" s="80">
        <v>62</v>
      </c>
      <c r="V108" s="81">
        <v>63</v>
      </c>
      <c r="W108" s="80">
        <v>64</v>
      </c>
      <c r="X108" s="81">
        <v>65</v>
      </c>
      <c r="Y108" s="80">
        <v>66</v>
      </c>
      <c r="Z108" s="81">
        <v>67</v>
      </c>
      <c r="AA108" s="80">
        <v>68</v>
      </c>
      <c r="AB108" s="81">
        <v>69</v>
      </c>
      <c r="AC108" s="80">
        <v>70</v>
      </c>
      <c r="AD108" s="81">
        <v>71</v>
      </c>
      <c r="AE108" s="80">
        <v>72</v>
      </c>
      <c r="AF108" s="81">
        <v>73</v>
      </c>
      <c r="AG108" s="80">
        <v>74</v>
      </c>
      <c r="AH108" s="81">
        <v>75</v>
      </c>
      <c r="AI108" s="80">
        <v>76</v>
      </c>
      <c r="AJ108" s="81">
        <v>77</v>
      </c>
      <c r="AK108" s="80">
        <v>78</v>
      </c>
      <c r="AL108" s="81">
        <v>79</v>
      </c>
      <c r="AM108" s="80">
        <v>80</v>
      </c>
      <c r="AN108" s="81">
        <v>81</v>
      </c>
      <c r="AO108" s="80">
        <v>82</v>
      </c>
      <c r="AP108" s="81">
        <v>83</v>
      </c>
      <c r="AQ108" s="80">
        <v>84</v>
      </c>
      <c r="AR108" s="28"/>
    </row>
    <row r="109" spans="2:44" ht="15" customHeight="1" x14ac:dyDescent="0.25">
      <c r="B109" s="101" t="s">
        <v>65</v>
      </c>
      <c r="D109" s="82">
        <v>0</v>
      </c>
      <c r="E109" s="82">
        <v>26.082650555430003</v>
      </c>
      <c r="F109" s="82">
        <v>28.647251807688331</v>
      </c>
      <c r="G109" s="82">
        <v>31.211853059944815</v>
      </c>
      <c r="H109" s="82">
        <v>33.776454312203441</v>
      </c>
      <c r="I109" s="82">
        <v>36.341055564460845</v>
      </c>
      <c r="J109" s="82">
        <v>38.905656816718555</v>
      </c>
      <c r="K109" s="82">
        <v>41.470258068976271</v>
      </c>
      <c r="L109" s="82">
        <v>44.034859321232453</v>
      </c>
      <c r="M109" s="82">
        <v>46.599460573491697</v>
      </c>
      <c r="N109" s="82">
        <v>49.164061825749101</v>
      </c>
      <c r="O109" s="82">
        <v>51.728663078006512</v>
      </c>
      <c r="P109" s="82">
        <v>54.29326433026452</v>
      </c>
      <c r="Q109" s="82">
        <v>56.857865582520702</v>
      </c>
      <c r="R109" s="82">
        <v>59.422466834779335</v>
      </c>
      <c r="S109" s="82">
        <v>61.987068087037343</v>
      </c>
      <c r="T109" s="82">
        <v>64.551669339294762</v>
      </c>
      <c r="U109" s="82">
        <v>67.116270591550915</v>
      </c>
      <c r="V109" s="82">
        <v>69.680871843810181</v>
      </c>
      <c r="W109" s="82">
        <v>72.245473096067585</v>
      </c>
      <c r="X109" s="82">
        <v>74.81007434832496</v>
      </c>
      <c r="Y109" s="82">
        <v>77.374675600583004</v>
      </c>
      <c r="Z109" s="82">
        <v>77.374675600583004</v>
      </c>
      <c r="AA109" s="82">
        <v>77.374675600583004</v>
      </c>
      <c r="AB109" s="82">
        <v>77.374675600583004</v>
      </c>
      <c r="AC109" s="82">
        <v>77.374675600583004</v>
      </c>
      <c r="AD109" s="82">
        <v>77.374675600583004</v>
      </c>
      <c r="AE109" s="82">
        <v>77.374675600583004</v>
      </c>
      <c r="AF109" s="82">
        <v>77.374675600583004</v>
      </c>
      <c r="AG109" s="82">
        <v>77.374675600583004</v>
      </c>
      <c r="AH109" s="82">
        <v>77.374675600583004</v>
      </c>
      <c r="AI109" s="82">
        <v>77.374675600583004</v>
      </c>
      <c r="AJ109" s="82">
        <v>77.374675600583004</v>
      </c>
      <c r="AK109" s="82">
        <v>77.374675600583004</v>
      </c>
      <c r="AL109" s="82">
        <v>77.374675600583004</v>
      </c>
      <c r="AM109" s="82">
        <v>77.374675600583004</v>
      </c>
      <c r="AN109" s="82">
        <v>77.374675600583004</v>
      </c>
      <c r="AO109" s="82">
        <v>77.374675600583004</v>
      </c>
      <c r="AP109" s="82">
        <v>77.374675600583004</v>
      </c>
      <c r="AQ109" s="82">
        <v>77.374675600583004</v>
      </c>
      <c r="AR109" s="28" t="s">
        <v>574</v>
      </c>
    </row>
    <row r="110" spans="2:44" ht="15" customHeight="1" x14ac:dyDescent="0.25">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28"/>
    </row>
    <row r="111" spans="2:44" s="5" customFormat="1" ht="15.75" x14ac:dyDescent="0.25">
      <c r="B111" s="5" t="s">
        <v>71</v>
      </c>
    </row>
    <row r="112" spans="2:44" ht="15" customHeight="1" x14ac:dyDescent="0.25">
      <c r="C112" s="100"/>
      <c r="D112" s="102"/>
      <c r="E112" s="102"/>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row>
    <row r="113" spans="2:44" ht="15" customHeight="1" x14ac:dyDescent="0.25">
      <c r="B113" s="187" t="s">
        <v>63</v>
      </c>
      <c r="D113" s="81" t="s">
        <v>64</v>
      </c>
      <c r="E113" s="80">
        <v>45</v>
      </c>
      <c r="F113" s="80">
        <v>46</v>
      </c>
      <c r="G113" s="80">
        <v>47</v>
      </c>
      <c r="H113" s="80">
        <v>48</v>
      </c>
      <c r="I113" s="80">
        <v>49</v>
      </c>
      <c r="J113" s="80">
        <v>50</v>
      </c>
      <c r="K113" s="80">
        <v>51</v>
      </c>
      <c r="L113" s="80">
        <v>52</v>
      </c>
      <c r="M113" s="80">
        <v>53</v>
      </c>
      <c r="N113" s="80">
        <v>54</v>
      </c>
      <c r="O113" s="80">
        <v>55</v>
      </c>
      <c r="P113" s="80">
        <v>56</v>
      </c>
      <c r="Q113" s="80">
        <v>57</v>
      </c>
      <c r="R113" s="80">
        <v>58</v>
      </c>
      <c r="S113" s="80">
        <v>59</v>
      </c>
      <c r="T113" s="80">
        <v>60</v>
      </c>
      <c r="U113" s="80">
        <v>61</v>
      </c>
      <c r="V113" s="80">
        <v>62</v>
      </c>
      <c r="W113" s="80">
        <v>63</v>
      </c>
      <c r="X113" s="80">
        <v>64</v>
      </c>
      <c r="Y113" s="80">
        <v>65</v>
      </c>
      <c r="Z113" s="80">
        <v>66</v>
      </c>
      <c r="AA113" s="80">
        <v>67</v>
      </c>
      <c r="AB113" s="80">
        <v>68</v>
      </c>
      <c r="AC113" s="80">
        <v>69</v>
      </c>
      <c r="AD113" s="80">
        <v>70</v>
      </c>
      <c r="AE113" s="80">
        <v>71</v>
      </c>
      <c r="AF113" s="80">
        <v>72</v>
      </c>
      <c r="AG113" s="80">
        <v>73</v>
      </c>
      <c r="AH113" s="80">
        <v>74</v>
      </c>
      <c r="AI113" s="80">
        <v>75</v>
      </c>
      <c r="AJ113" s="80">
        <v>76</v>
      </c>
      <c r="AK113" s="80">
        <v>77</v>
      </c>
      <c r="AL113" s="80">
        <v>78</v>
      </c>
      <c r="AM113" s="80">
        <v>79</v>
      </c>
      <c r="AN113" s="80">
        <v>80</v>
      </c>
      <c r="AO113" s="80">
        <v>81</v>
      </c>
      <c r="AP113" s="80">
        <v>82</v>
      </c>
      <c r="AQ113" s="80">
        <v>83</v>
      </c>
    </row>
    <row r="114" spans="2:44" ht="15" customHeight="1" x14ac:dyDescent="0.25">
      <c r="B114" s="187"/>
      <c r="D114" s="81">
        <v>45</v>
      </c>
      <c r="E114" s="80">
        <v>46</v>
      </c>
      <c r="F114" s="81">
        <v>47</v>
      </c>
      <c r="G114" s="80">
        <v>48</v>
      </c>
      <c r="H114" s="81">
        <v>49</v>
      </c>
      <c r="I114" s="80">
        <v>50</v>
      </c>
      <c r="J114" s="81">
        <v>51</v>
      </c>
      <c r="K114" s="80">
        <v>52</v>
      </c>
      <c r="L114" s="81">
        <v>53</v>
      </c>
      <c r="M114" s="80">
        <v>54</v>
      </c>
      <c r="N114" s="81">
        <v>55</v>
      </c>
      <c r="O114" s="80">
        <v>56</v>
      </c>
      <c r="P114" s="81">
        <v>57</v>
      </c>
      <c r="Q114" s="80">
        <v>58</v>
      </c>
      <c r="R114" s="81">
        <v>59</v>
      </c>
      <c r="S114" s="80">
        <v>60</v>
      </c>
      <c r="T114" s="81">
        <v>61</v>
      </c>
      <c r="U114" s="80">
        <v>62</v>
      </c>
      <c r="V114" s="81">
        <v>63</v>
      </c>
      <c r="W114" s="80">
        <v>64</v>
      </c>
      <c r="X114" s="81">
        <v>65</v>
      </c>
      <c r="Y114" s="80">
        <v>66</v>
      </c>
      <c r="Z114" s="81">
        <v>67</v>
      </c>
      <c r="AA114" s="80">
        <v>68</v>
      </c>
      <c r="AB114" s="81">
        <v>69</v>
      </c>
      <c r="AC114" s="80">
        <v>70</v>
      </c>
      <c r="AD114" s="81">
        <v>71</v>
      </c>
      <c r="AE114" s="80">
        <v>72</v>
      </c>
      <c r="AF114" s="81">
        <v>73</v>
      </c>
      <c r="AG114" s="80">
        <v>74</v>
      </c>
      <c r="AH114" s="81">
        <v>75</v>
      </c>
      <c r="AI114" s="80">
        <v>76</v>
      </c>
      <c r="AJ114" s="81">
        <v>77</v>
      </c>
      <c r="AK114" s="80">
        <v>78</v>
      </c>
      <c r="AL114" s="81">
        <v>79</v>
      </c>
      <c r="AM114" s="80">
        <v>80</v>
      </c>
      <c r="AN114" s="81">
        <v>81</v>
      </c>
      <c r="AO114" s="80">
        <v>82</v>
      </c>
      <c r="AP114" s="81">
        <v>83</v>
      </c>
      <c r="AQ114" s="80">
        <v>84</v>
      </c>
    </row>
    <row r="115" spans="2:44" ht="15" customHeight="1" x14ac:dyDescent="0.25">
      <c r="B115" s="101" t="s">
        <v>66</v>
      </c>
      <c r="D115" s="82">
        <v>0</v>
      </c>
      <c r="E115" s="82">
        <v>3.4844084845047876</v>
      </c>
      <c r="F115" s="82">
        <v>3.5256215921117255</v>
      </c>
      <c r="G115" s="82">
        <v>3.6739207320110734</v>
      </c>
      <c r="H115" s="82">
        <v>3.9293059042028156</v>
      </c>
      <c r="I115" s="82">
        <v>4.2917771086869596</v>
      </c>
      <c r="J115" s="82">
        <v>4.7613343454635126</v>
      </c>
      <c r="K115" s="82">
        <v>5.3379776145324636</v>
      </c>
      <c r="L115" s="82">
        <v>6.0217069158938266</v>
      </c>
      <c r="M115" s="82">
        <v>6.8125222495475883</v>
      </c>
      <c r="N115" s="82">
        <v>7.7104236154937356</v>
      </c>
      <c r="O115" s="82">
        <v>8.7154110137323144</v>
      </c>
      <c r="P115" s="82">
        <v>9.8274844442632769</v>
      </c>
      <c r="Q115" s="82">
        <v>11.046643907086638</v>
      </c>
      <c r="R115" s="82">
        <v>12.372889402202427</v>
      </c>
      <c r="S115" s="82">
        <v>13.806220929610584</v>
      </c>
      <c r="T115" s="82">
        <v>15.346638489311147</v>
      </c>
      <c r="U115" s="82">
        <v>16.994142081304172</v>
      </c>
      <c r="V115" s="82">
        <v>18.748731705589531</v>
      </c>
      <c r="W115" s="82">
        <v>20.610407362167333</v>
      </c>
      <c r="X115" s="82">
        <v>22.579169051037486</v>
      </c>
      <c r="Y115" s="82">
        <v>24.655016772200145</v>
      </c>
      <c r="Z115" s="82">
        <v>26.837950525655067</v>
      </c>
      <c r="AA115" s="82">
        <v>29.127970311402517</v>
      </c>
      <c r="AB115" s="82">
        <v>31.52507612944224</v>
      </c>
      <c r="AC115" s="82">
        <v>34.029267979774538</v>
      </c>
      <c r="AD115" s="82">
        <v>36.640545862399144</v>
      </c>
      <c r="AE115" s="82">
        <v>39.358909777316178</v>
      </c>
      <c r="AF115" s="82">
        <v>42.184359724525493</v>
      </c>
      <c r="AG115" s="82">
        <v>45.116895704027272</v>
      </c>
      <c r="AH115" s="82">
        <v>48.156517715821479</v>
      </c>
      <c r="AI115" s="82">
        <v>51.303225759908408</v>
      </c>
      <c r="AJ115" s="82">
        <v>51.303225759908408</v>
      </c>
      <c r="AK115" s="82">
        <v>51.303225759908408</v>
      </c>
      <c r="AL115" s="82">
        <v>51.303225759908408</v>
      </c>
      <c r="AM115" s="82">
        <v>51.303225759908408</v>
      </c>
      <c r="AN115" s="82">
        <v>51.303225759908408</v>
      </c>
      <c r="AO115" s="82">
        <v>51.303225759908408</v>
      </c>
      <c r="AP115" s="82">
        <v>51.303225759908401</v>
      </c>
      <c r="AQ115" s="82">
        <v>51.303225759908401</v>
      </c>
      <c r="AR115" s="28" t="s">
        <v>111</v>
      </c>
    </row>
    <row r="116" spans="2:44" ht="15" customHeight="1" x14ac:dyDescent="0.25">
      <c r="B116" s="101" t="s">
        <v>67</v>
      </c>
      <c r="D116" s="82">
        <v>0</v>
      </c>
      <c r="E116" s="82">
        <v>0</v>
      </c>
      <c r="F116" s="82">
        <v>0</v>
      </c>
      <c r="G116" s="82">
        <v>0</v>
      </c>
      <c r="H116" s="82">
        <v>0</v>
      </c>
      <c r="I116" s="82">
        <v>0</v>
      </c>
      <c r="J116" s="82">
        <v>0</v>
      </c>
      <c r="K116" s="82">
        <v>0</v>
      </c>
      <c r="L116" s="82">
        <v>0</v>
      </c>
      <c r="M116" s="82">
        <v>0</v>
      </c>
      <c r="N116" s="82">
        <v>0</v>
      </c>
      <c r="O116" s="82">
        <v>0</v>
      </c>
      <c r="P116" s="82">
        <v>0</v>
      </c>
      <c r="Q116" s="82">
        <v>0</v>
      </c>
      <c r="R116" s="82">
        <v>1.3887764027048999</v>
      </c>
      <c r="S116" s="82">
        <v>2.7457791783092356</v>
      </c>
      <c r="T116" s="82">
        <v>3.8879927221160657</v>
      </c>
      <c r="U116" s="82">
        <v>5.0655919827628795</v>
      </c>
      <c r="V116" s="82">
        <v>6.2785769602505104</v>
      </c>
      <c r="W116" s="82">
        <v>7.5269476545775031</v>
      </c>
      <c r="X116" s="82">
        <v>8.8107040657455169</v>
      </c>
      <c r="Y116" s="82">
        <v>10.129846193754142</v>
      </c>
      <c r="Z116" s="82">
        <v>11.484374038602335</v>
      </c>
      <c r="AA116" s="82">
        <v>12.874287600290511</v>
      </c>
      <c r="AB116" s="82">
        <v>14.299586878819927</v>
      </c>
      <c r="AC116" s="82">
        <v>15.760271874190154</v>
      </c>
      <c r="AD116" s="82">
        <v>17.256342586399118</v>
      </c>
      <c r="AE116" s="82">
        <v>18.787799015448897</v>
      </c>
      <c r="AF116" s="82">
        <v>20.354641161339497</v>
      </c>
      <c r="AG116" s="82">
        <v>21.956869024070496</v>
      </c>
      <c r="AH116" s="82">
        <v>23.594482603641474</v>
      </c>
      <c r="AI116" s="82">
        <v>25.267481900052438</v>
      </c>
      <c r="AJ116" s="82">
        <v>26.975866913303815</v>
      </c>
      <c r="AK116" s="82">
        <v>28.719637643396407</v>
      </c>
      <c r="AL116" s="82">
        <v>30.498794090328168</v>
      </c>
      <c r="AM116" s="82">
        <v>32.313336254100733</v>
      </c>
      <c r="AN116" s="82">
        <v>34.163264134714112</v>
      </c>
      <c r="AO116" s="82">
        <v>34.163264134714112</v>
      </c>
      <c r="AP116" s="82">
        <v>34.163264134714098</v>
      </c>
      <c r="AQ116" s="82">
        <v>34.163264134714098</v>
      </c>
      <c r="AR116" s="28" t="s">
        <v>112</v>
      </c>
    </row>
    <row r="117" spans="2:44" ht="15" customHeight="1" x14ac:dyDescent="0.25">
      <c r="B117" s="101" t="s">
        <v>68</v>
      </c>
      <c r="D117" s="82">
        <v>0</v>
      </c>
      <c r="E117" s="82">
        <v>0</v>
      </c>
      <c r="F117" s="82">
        <v>0</v>
      </c>
      <c r="G117" s="82">
        <v>0</v>
      </c>
      <c r="H117" s="82">
        <v>0</v>
      </c>
      <c r="I117" s="82">
        <v>0</v>
      </c>
      <c r="J117" s="82">
        <v>2.5337719562976919</v>
      </c>
      <c r="K117" s="82">
        <v>2.540685853146063</v>
      </c>
      <c r="L117" s="82">
        <v>2.5476210822537664</v>
      </c>
      <c r="M117" s="82">
        <v>2.5545777183196918</v>
      </c>
      <c r="N117" s="82">
        <v>2.5615558363359354</v>
      </c>
      <c r="O117" s="82">
        <v>2.5685555115886678</v>
      </c>
      <c r="P117" s="82">
        <v>2.575576819659787</v>
      </c>
      <c r="Q117" s="82">
        <v>2.5826198364273898</v>
      </c>
      <c r="R117" s="82">
        <v>2.5896846380684999</v>
      </c>
      <c r="S117" s="82">
        <v>2.5967713010586762</v>
      </c>
      <c r="T117" s="82">
        <v>2.6038799021745915</v>
      </c>
      <c r="U117" s="82">
        <v>2.6110105184944179</v>
      </c>
      <c r="V117" s="82">
        <v>2.61816322739993</v>
      </c>
      <c r="W117" s="82">
        <v>2.6253381065770354</v>
      </c>
      <c r="X117" s="82">
        <v>2.6325352340177806</v>
      </c>
      <c r="Y117" s="82">
        <v>2.6397546880211262</v>
      </c>
      <c r="Z117" s="82">
        <v>2.6469965471945236</v>
      </c>
      <c r="AA117" s="82">
        <v>2.6542608904551317</v>
      </c>
      <c r="AB117" s="82">
        <v>2.6615477970315817</v>
      </c>
      <c r="AC117" s="82">
        <v>2.6688573464643794</v>
      </c>
      <c r="AD117" s="82">
        <v>2.6761896186082459</v>
      </c>
      <c r="AE117" s="82">
        <v>2.6835446936329617</v>
      </c>
      <c r="AF117" s="82">
        <v>2.6909226520246752</v>
      </c>
      <c r="AG117" s="82">
        <v>2.6983235745876519</v>
      </c>
      <c r="AH117" s="82">
        <v>2.705747542445073</v>
      </c>
      <c r="AI117" s="82">
        <v>2.7131946370411497</v>
      </c>
      <c r="AJ117" s="82">
        <v>2.7131946370411497</v>
      </c>
      <c r="AK117" s="82">
        <v>2.7131946370411497</v>
      </c>
      <c r="AL117" s="82">
        <v>2.7131946370411497</v>
      </c>
      <c r="AM117" s="82">
        <v>2.7131946370411497</v>
      </c>
      <c r="AN117" s="82">
        <v>2.7131946370411497</v>
      </c>
      <c r="AO117" s="82">
        <v>2.7131946370411497</v>
      </c>
      <c r="AP117" s="82">
        <v>2.7131946370411502</v>
      </c>
      <c r="AQ117" s="82">
        <v>2.7131946370411502</v>
      </c>
      <c r="AR117" s="28" t="s">
        <v>113</v>
      </c>
    </row>
    <row r="118" spans="2:44" ht="15" customHeight="1" x14ac:dyDescent="0.25">
      <c r="B118" s="101" t="s">
        <v>69</v>
      </c>
      <c r="D118" s="82">
        <v>0</v>
      </c>
      <c r="E118" s="82">
        <v>0</v>
      </c>
      <c r="F118" s="82">
        <v>0</v>
      </c>
      <c r="G118" s="82">
        <v>0</v>
      </c>
      <c r="H118" s="82">
        <v>0</v>
      </c>
      <c r="I118" s="82">
        <v>0</v>
      </c>
      <c r="J118" s="82">
        <v>3.8387632039201098</v>
      </c>
      <c r="K118" s="82">
        <v>3.8476663519311005</v>
      </c>
      <c r="L118" s="82">
        <v>3.8565910292947732</v>
      </c>
      <c r="M118" s="82">
        <v>3.8655372901702045</v>
      </c>
      <c r="N118" s="82">
        <v>3.8745051888581128</v>
      </c>
      <c r="O118" s="82">
        <v>3.8834947798005217</v>
      </c>
      <c r="P118" s="82">
        <v>3.8925061175818523</v>
      </c>
      <c r="Q118" s="82">
        <v>3.9015392569280145</v>
      </c>
      <c r="R118" s="82">
        <v>3.9105942527089859</v>
      </c>
      <c r="S118" s="82">
        <v>3.9196711599367871</v>
      </c>
      <c r="T118" s="82">
        <v>3.9287700337676243</v>
      </c>
      <c r="U118" s="82">
        <v>3.9378909295010613</v>
      </c>
      <c r="V118" s="82">
        <v>3.9470339025816474</v>
      </c>
      <c r="W118" s="82">
        <v>3.9561990085979239</v>
      </c>
      <c r="X118" s="82">
        <v>3.9653863032841747</v>
      </c>
      <c r="Y118" s="82">
        <v>3.9745958425196415</v>
      </c>
      <c r="Z118" s="82">
        <v>3.9838276823297698</v>
      </c>
      <c r="AA118" s="82">
        <v>3.9930818788857767</v>
      </c>
      <c r="AB118" s="82">
        <v>4.0023584885065899</v>
      </c>
      <c r="AC118" s="82">
        <v>4.0116575676567843</v>
      </c>
      <c r="AD118" s="82">
        <v>4.0209791729493629</v>
      </c>
      <c r="AE118" s="82">
        <v>4.0303233611449905</v>
      </c>
      <c r="AF118" s="82">
        <v>4.0396901891522194</v>
      </c>
      <c r="AG118" s="82">
        <v>4.049079714028796</v>
      </c>
      <c r="AH118" s="82">
        <v>4.0584919929808674</v>
      </c>
      <c r="AI118" s="82">
        <v>4.0679270833646752</v>
      </c>
      <c r="AJ118" s="82">
        <v>4.0679270833646752</v>
      </c>
      <c r="AK118" s="82">
        <v>4.0679270833646752</v>
      </c>
      <c r="AL118" s="82">
        <v>4.0679270833646752</v>
      </c>
      <c r="AM118" s="82">
        <v>4.0679270833646752</v>
      </c>
      <c r="AN118" s="82">
        <v>4.0679270833646752</v>
      </c>
      <c r="AO118" s="82">
        <v>4.0679270833646752</v>
      </c>
      <c r="AP118" s="82">
        <v>4.0679270833646797</v>
      </c>
      <c r="AQ118" s="82">
        <v>4.0679270833646797</v>
      </c>
      <c r="AR118" s="28" t="s">
        <v>114</v>
      </c>
    </row>
    <row r="119" spans="2:44" ht="15" customHeight="1" x14ac:dyDescent="0.25">
      <c r="B119" s="101"/>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28"/>
    </row>
    <row r="120" spans="2:44" ht="15" customHeight="1" x14ac:dyDescent="0.25">
      <c r="B120" s="187" t="s">
        <v>70</v>
      </c>
      <c r="D120" s="81" t="s">
        <v>64</v>
      </c>
      <c r="E120" s="80">
        <v>45</v>
      </c>
      <c r="F120" s="80">
        <v>46</v>
      </c>
      <c r="G120" s="80">
        <v>47</v>
      </c>
      <c r="H120" s="80">
        <v>48</v>
      </c>
      <c r="I120" s="80">
        <v>49</v>
      </c>
      <c r="J120" s="80">
        <v>50</v>
      </c>
      <c r="K120" s="80">
        <v>51</v>
      </c>
      <c r="L120" s="80">
        <v>52</v>
      </c>
      <c r="M120" s="80">
        <v>53</v>
      </c>
      <c r="N120" s="80">
        <v>54</v>
      </c>
      <c r="O120" s="80">
        <v>55</v>
      </c>
      <c r="P120" s="80">
        <v>56</v>
      </c>
      <c r="Q120" s="80">
        <v>57</v>
      </c>
      <c r="R120" s="80">
        <v>58</v>
      </c>
      <c r="S120" s="80">
        <v>59</v>
      </c>
      <c r="T120" s="80">
        <v>60</v>
      </c>
      <c r="U120" s="80">
        <v>61</v>
      </c>
      <c r="V120" s="80">
        <v>62</v>
      </c>
      <c r="W120" s="80">
        <v>63</v>
      </c>
      <c r="X120" s="80">
        <v>64</v>
      </c>
      <c r="Y120" s="80">
        <v>65</v>
      </c>
      <c r="Z120" s="80">
        <v>66</v>
      </c>
      <c r="AA120" s="80">
        <v>67</v>
      </c>
      <c r="AB120" s="80">
        <v>68</v>
      </c>
      <c r="AC120" s="80">
        <v>69</v>
      </c>
      <c r="AD120" s="80">
        <v>70</v>
      </c>
      <c r="AE120" s="80">
        <v>71</v>
      </c>
      <c r="AF120" s="80">
        <v>72</v>
      </c>
      <c r="AG120" s="80">
        <v>73</v>
      </c>
      <c r="AH120" s="80">
        <v>74</v>
      </c>
      <c r="AI120" s="80">
        <v>75</v>
      </c>
      <c r="AJ120" s="80">
        <v>76</v>
      </c>
      <c r="AK120" s="80">
        <v>77</v>
      </c>
      <c r="AL120" s="80">
        <v>78</v>
      </c>
      <c r="AM120" s="80">
        <v>79</v>
      </c>
      <c r="AN120" s="80">
        <v>80</v>
      </c>
      <c r="AO120" s="80">
        <v>81</v>
      </c>
      <c r="AP120" s="80">
        <v>82</v>
      </c>
      <c r="AQ120" s="80">
        <v>83</v>
      </c>
      <c r="AR120" s="28"/>
    </row>
    <row r="121" spans="2:44" ht="15" customHeight="1" x14ac:dyDescent="0.25">
      <c r="B121" s="187"/>
      <c r="D121" s="81">
        <v>45</v>
      </c>
      <c r="E121" s="80">
        <v>46</v>
      </c>
      <c r="F121" s="81">
        <v>47</v>
      </c>
      <c r="G121" s="80">
        <v>48</v>
      </c>
      <c r="H121" s="81">
        <v>49</v>
      </c>
      <c r="I121" s="80">
        <v>50</v>
      </c>
      <c r="J121" s="81">
        <v>51</v>
      </c>
      <c r="K121" s="80">
        <v>52</v>
      </c>
      <c r="L121" s="81">
        <v>53</v>
      </c>
      <c r="M121" s="80">
        <v>54</v>
      </c>
      <c r="N121" s="81">
        <v>55</v>
      </c>
      <c r="O121" s="80">
        <v>56</v>
      </c>
      <c r="P121" s="81">
        <v>57</v>
      </c>
      <c r="Q121" s="80">
        <v>58</v>
      </c>
      <c r="R121" s="81">
        <v>59</v>
      </c>
      <c r="S121" s="80">
        <v>60</v>
      </c>
      <c r="T121" s="81">
        <v>61</v>
      </c>
      <c r="U121" s="80">
        <v>62</v>
      </c>
      <c r="V121" s="81">
        <v>63</v>
      </c>
      <c r="W121" s="80">
        <v>64</v>
      </c>
      <c r="X121" s="81">
        <v>65</v>
      </c>
      <c r="Y121" s="80">
        <v>66</v>
      </c>
      <c r="Z121" s="81">
        <v>67</v>
      </c>
      <c r="AA121" s="80">
        <v>68</v>
      </c>
      <c r="AB121" s="81">
        <v>69</v>
      </c>
      <c r="AC121" s="80">
        <v>70</v>
      </c>
      <c r="AD121" s="81">
        <v>71</v>
      </c>
      <c r="AE121" s="80">
        <v>72</v>
      </c>
      <c r="AF121" s="81">
        <v>73</v>
      </c>
      <c r="AG121" s="80">
        <v>74</v>
      </c>
      <c r="AH121" s="81">
        <v>75</v>
      </c>
      <c r="AI121" s="80">
        <v>76</v>
      </c>
      <c r="AJ121" s="81">
        <v>77</v>
      </c>
      <c r="AK121" s="80">
        <v>78</v>
      </c>
      <c r="AL121" s="81">
        <v>79</v>
      </c>
      <c r="AM121" s="80">
        <v>80</v>
      </c>
      <c r="AN121" s="81">
        <v>81</v>
      </c>
      <c r="AO121" s="80">
        <v>82</v>
      </c>
      <c r="AP121" s="81">
        <v>83</v>
      </c>
      <c r="AQ121" s="80">
        <v>84</v>
      </c>
      <c r="AR121" s="28"/>
    </row>
    <row r="122" spans="2:44" ht="15" customHeight="1" x14ac:dyDescent="0.25">
      <c r="B122" s="101" t="s">
        <v>65</v>
      </c>
      <c r="D122" s="82">
        <v>0</v>
      </c>
      <c r="E122" s="82">
        <v>12.140435739573592</v>
      </c>
      <c r="F122" s="82">
        <v>13.450349838135779</v>
      </c>
      <c r="G122" s="82">
        <v>14.760263936698125</v>
      </c>
      <c r="H122" s="82">
        <v>16.070178035260163</v>
      </c>
      <c r="I122" s="82">
        <v>17.380092133822508</v>
      </c>
      <c r="J122" s="82">
        <v>18.690006232385155</v>
      </c>
      <c r="K122" s="82">
        <v>19.999920330946885</v>
      </c>
      <c r="L122" s="82">
        <v>21.309834429509539</v>
      </c>
      <c r="M122" s="82">
        <v>22.619748528071572</v>
      </c>
      <c r="N122" s="82">
        <v>23.929662626633611</v>
      </c>
      <c r="O122" s="82">
        <v>25.239576725196265</v>
      </c>
      <c r="P122" s="82">
        <v>26.5494908237586</v>
      </c>
      <c r="Q122" s="82">
        <v>27.859404922320639</v>
      </c>
      <c r="R122" s="82">
        <v>29.169319020882984</v>
      </c>
      <c r="S122" s="82">
        <v>30.479233119445635</v>
      </c>
      <c r="T122" s="82">
        <v>31.789147218007056</v>
      </c>
      <c r="U122" s="82">
        <v>33.099061316570008</v>
      </c>
      <c r="V122" s="82">
        <v>34.408975415131742</v>
      </c>
      <c r="W122" s="82">
        <v>35.718889513694691</v>
      </c>
      <c r="X122" s="82">
        <v>37.028803612257043</v>
      </c>
      <c r="Y122" s="82">
        <v>38.338717710818464</v>
      </c>
      <c r="Z122" s="82">
        <v>38.338717710818464</v>
      </c>
      <c r="AA122" s="82">
        <v>38.338717710818464</v>
      </c>
      <c r="AB122" s="82">
        <v>38.338717710818464</v>
      </c>
      <c r="AC122" s="82">
        <v>38.338717710818464</v>
      </c>
      <c r="AD122" s="82">
        <v>38.338717710818464</v>
      </c>
      <c r="AE122" s="82">
        <v>38.338717710818464</v>
      </c>
      <c r="AF122" s="82">
        <v>38.338717710818464</v>
      </c>
      <c r="AG122" s="82">
        <v>38.338717710818464</v>
      </c>
      <c r="AH122" s="82">
        <v>38.338717710818464</v>
      </c>
      <c r="AI122" s="82">
        <v>38.338717710818464</v>
      </c>
      <c r="AJ122" s="82">
        <v>38.338717710818464</v>
      </c>
      <c r="AK122" s="82">
        <v>38.338717710818464</v>
      </c>
      <c r="AL122" s="82">
        <v>38.338717710818464</v>
      </c>
      <c r="AM122" s="82">
        <v>38.338717710818464</v>
      </c>
      <c r="AN122" s="82">
        <v>38.338717710818464</v>
      </c>
      <c r="AO122" s="82">
        <v>38.338717710818464</v>
      </c>
      <c r="AP122" s="82">
        <v>38.3387177108185</v>
      </c>
      <c r="AQ122" s="82">
        <v>42.91841399999953</v>
      </c>
      <c r="AR122" s="28" t="s">
        <v>575</v>
      </c>
    </row>
    <row r="123" spans="2:44" s="94" customFormat="1" ht="15" customHeight="1" x14ac:dyDescent="0.25">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15"/>
    </row>
    <row r="124" spans="2:44" s="5" customFormat="1" ht="15.75" x14ac:dyDescent="0.25">
      <c r="B124" s="5" t="s">
        <v>72</v>
      </c>
    </row>
    <row r="125" spans="2:44" ht="15" customHeight="1" x14ac:dyDescent="0.25">
      <c r="C125" s="100"/>
      <c r="D125" s="102"/>
      <c r="E125" s="102"/>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row>
    <row r="126" spans="2:44" ht="15" customHeight="1" x14ac:dyDescent="0.25">
      <c r="B126" s="187" t="s">
        <v>63</v>
      </c>
      <c r="D126" s="81" t="s">
        <v>64</v>
      </c>
      <c r="E126" s="80">
        <v>45</v>
      </c>
      <c r="F126" s="80">
        <v>46</v>
      </c>
      <c r="G126" s="80">
        <v>47</v>
      </c>
      <c r="H126" s="80">
        <v>48</v>
      </c>
      <c r="I126" s="80">
        <v>49</v>
      </c>
      <c r="J126" s="80">
        <v>50</v>
      </c>
      <c r="K126" s="80">
        <v>51</v>
      </c>
      <c r="L126" s="80">
        <v>52</v>
      </c>
      <c r="M126" s="80">
        <v>53</v>
      </c>
      <c r="N126" s="80">
        <v>54</v>
      </c>
      <c r="O126" s="80">
        <v>55</v>
      </c>
      <c r="P126" s="80">
        <v>56</v>
      </c>
      <c r="Q126" s="80">
        <v>57</v>
      </c>
      <c r="R126" s="80">
        <v>58</v>
      </c>
      <c r="S126" s="80">
        <v>59</v>
      </c>
      <c r="T126" s="80">
        <v>60</v>
      </c>
      <c r="U126" s="80">
        <v>61</v>
      </c>
      <c r="V126" s="80">
        <v>62</v>
      </c>
      <c r="W126" s="80">
        <v>63</v>
      </c>
      <c r="X126" s="80">
        <v>64</v>
      </c>
      <c r="Y126" s="80">
        <v>65</v>
      </c>
      <c r="Z126" s="80">
        <v>66</v>
      </c>
      <c r="AA126" s="80">
        <v>67</v>
      </c>
      <c r="AB126" s="80">
        <v>68</v>
      </c>
      <c r="AC126" s="80">
        <v>69</v>
      </c>
      <c r="AD126" s="80">
        <v>70</v>
      </c>
      <c r="AE126" s="80">
        <v>71</v>
      </c>
      <c r="AF126" s="80">
        <v>72</v>
      </c>
      <c r="AG126" s="80">
        <v>73</v>
      </c>
      <c r="AH126" s="80">
        <v>74</v>
      </c>
      <c r="AI126" s="80">
        <v>75</v>
      </c>
      <c r="AJ126" s="80">
        <v>76</v>
      </c>
      <c r="AK126" s="80">
        <v>77</v>
      </c>
      <c r="AL126" s="80">
        <v>78</v>
      </c>
      <c r="AM126" s="80">
        <v>79</v>
      </c>
      <c r="AN126" s="80">
        <v>80</v>
      </c>
      <c r="AO126" s="80">
        <v>81</v>
      </c>
      <c r="AP126" s="80">
        <v>82</v>
      </c>
      <c r="AQ126" s="80">
        <v>83</v>
      </c>
    </row>
    <row r="127" spans="2:44" ht="15" customHeight="1" x14ac:dyDescent="0.25">
      <c r="B127" s="187"/>
      <c r="D127" s="81">
        <v>45</v>
      </c>
      <c r="E127" s="80">
        <v>46</v>
      </c>
      <c r="F127" s="81">
        <v>47</v>
      </c>
      <c r="G127" s="80">
        <v>48</v>
      </c>
      <c r="H127" s="81">
        <v>49</v>
      </c>
      <c r="I127" s="80">
        <v>50</v>
      </c>
      <c r="J127" s="81">
        <v>51</v>
      </c>
      <c r="K127" s="80">
        <v>52</v>
      </c>
      <c r="L127" s="81">
        <v>53</v>
      </c>
      <c r="M127" s="80">
        <v>54</v>
      </c>
      <c r="N127" s="81">
        <v>55</v>
      </c>
      <c r="O127" s="80">
        <v>56</v>
      </c>
      <c r="P127" s="81">
        <v>57</v>
      </c>
      <c r="Q127" s="80">
        <v>58</v>
      </c>
      <c r="R127" s="81">
        <v>59</v>
      </c>
      <c r="S127" s="80">
        <v>60</v>
      </c>
      <c r="T127" s="81">
        <v>61</v>
      </c>
      <c r="U127" s="80">
        <v>62</v>
      </c>
      <c r="V127" s="81">
        <v>63</v>
      </c>
      <c r="W127" s="80">
        <v>64</v>
      </c>
      <c r="X127" s="81">
        <v>65</v>
      </c>
      <c r="Y127" s="80">
        <v>66</v>
      </c>
      <c r="Z127" s="81">
        <v>67</v>
      </c>
      <c r="AA127" s="80">
        <v>68</v>
      </c>
      <c r="AB127" s="81">
        <v>69</v>
      </c>
      <c r="AC127" s="80">
        <v>70</v>
      </c>
      <c r="AD127" s="81">
        <v>71</v>
      </c>
      <c r="AE127" s="80">
        <v>72</v>
      </c>
      <c r="AF127" s="81">
        <v>73</v>
      </c>
      <c r="AG127" s="80">
        <v>74</v>
      </c>
      <c r="AH127" s="81">
        <v>75</v>
      </c>
      <c r="AI127" s="80">
        <v>76</v>
      </c>
      <c r="AJ127" s="81">
        <v>77</v>
      </c>
      <c r="AK127" s="80">
        <v>78</v>
      </c>
      <c r="AL127" s="81">
        <v>79</v>
      </c>
      <c r="AM127" s="80">
        <v>80</v>
      </c>
      <c r="AN127" s="81">
        <v>81</v>
      </c>
      <c r="AO127" s="80">
        <v>82</v>
      </c>
      <c r="AP127" s="81">
        <v>83</v>
      </c>
      <c r="AQ127" s="80">
        <v>84</v>
      </c>
    </row>
    <row r="128" spans="2:44" ht="15" customHeight="1" x14ac:dyDescent="0.25">
      <c r="B128" s="101" t="s">
        <v>66</v>
      </c>
      <c r="D128" s="82">
        <v>0</v>
      </c>
      <c r="E128" s="82">
        <v>13.948165765715052</v>
      </c>
      <c r="F128" s="82">
        <v>15.832593937382564</v>
      </c>
      <c r="G128" s="82">
        <v>17.703414091215318</v>
      </c>
      <c r="H128" s="82">
        <v>19.560626227213326</v>
      </c>
      <c r="I128" s="82">
        <v>21.404230345376572</v>
      </c>
      <c r="J128" s="82">
        <v>23.234226445705072</v>
      </c>
      <c r="K128" s="82">
        <v>25.050614528198828</v>
      </c>
      <c r="L128" s="82">
        <v>26.853394592857825</v>
      </c>
      <c r="M128" s="82">
        <v>28.642566639682055</v>
      </c>
      <c r="N128" s="82">
        <v>30.418130668671544</v>
      </c>
      <c r="O128" s="82">
        <v>32.180086679826253</v>
      </c>
      <c r="P128" s="82">
        <v>33.928434673146285</v>
      </c>
      <c r="Q128" s="82">
        <v>35.66317464863144</v>
      </c>
      <c r="R128" s="82">
        <v>37.384306606281982</v>
      </c>
      <c r="S128" s="82">
        <v>39.091830546097668</v>
      </c>
      <c r="T128" s="82">
        <v>40.785746468078649</v>
      </c>
      <c r="U128" s="82">
        <v>42.466054372224853</v>
      </c>
      <c r="V128" s="82">
        <v>44.132754258536274</v>
      </c>
      <c r="W128" s="82">
        <v>45.78584612701291</v>
      </c>
      <c r="X128" s="82">
        <v>47.425329977655039</v>
      </c>
      <c r="Y128" s="82">
        <v>49.051205810462207</v>
      </c>
      <c r="Z128" s="82">
        <v>50.663473625434492</v>
      </c>
      <c r="AA128" s="82">
        <v>52.262133422572262</v>
      </c>
      <c r="AB128" s="82">
        <v>53.847185201875256</v>
      </c>
      <c r="AC128" s="82">
        <v>55.418628963343387</v>
      </c>
      <c r="AD128" s="82">
        <v>56.976464706976742</v>
      </c>
      <c r="AE128" s="82">
        <v>58.520692432775476</v>
      </c>
      <c r="AF128" s="82">
        <v>60.051312140739597</v>
      </c>
      <c r="AG128" s="82">
        <v>61.568323830868586</v>
      </c>
      <c r="AH128" s="82">
        <v>63.071727503162805</v>
      </c>
      <c r="AI128" s="82">
        <v>64.561523157622773</v>
      </c>
      <c r="AJ128" s="82">
        <v>64.561523157622773</v>
      </c>
      <c r="AK128" s="82">
        <v>64.561523157622773</v>
      </c>
      <c r="AL128" s="82">
        <v>64.561523157622773</v>
      </c>
      <c r="AM128" s="82">
        <v>64.561523157622773</v>
      </c>
      <c r="AN128" s="82">
        <v>64.561523157622773</v>
      </c>
      <c r="AO128" s="82">
        <v>64.561523157622773</v>
      </c>
      <c r="AP128" s="82">
        <v>64.561523157622801</v>
      </c>
      <c r="AQ128" s="82">
        <v>64.561523157622801</v>
      </c>
      <c r="AR128" s="28" t="s">
        <v>115</v>
      </c>
    </row>
    <row r="129" spans="2:44" ht="15" customHeight="1" x14ac:dyDescent="0.25">
      <c r="B129" s="101" t="s">
        <v>67</v>
      </c>
      <c r="D129" s="82">
        <v>0</v>
      </c>
      <c r="E129" s="82">
        <v>0</v>
      </c>
      <c r="F129" s="82">
        <v>0</v>
      </c>
      <c r="G129" s="82">
        <v>0</v>
      </c>
      <c r="H129" s="82">
        <v>0</v>
      </c>
      <c r="I129" s="82">
        <v>0</v>
      </c>
      <c r="J129" s="82">
        <v>0</v>
      </c>
      <c r="K129" s="82">
        <v>0</v>
      </c>
      <c r="L129" s="82">
        <v>0</v>
      </c>
      <c r="M129" s="82">
        <v>0</v>
      </c>
      <c r="N129" s="82">
        <v>0</v>
      </c>
      <c r="O129" s="82">
        <v>0</v>
      </c>
      <c r="P129" s="82">
        <v>0</v>
      </c>
      <c r="Q129" s="82">
        <v>0</v>
      </c>
      <c r="R129" s="82">
        <v>1.3887764027048999</v>
      </c>
      <c r="S129" s="82">
        <v>2.7457791783092356</v>
      </c>
      <c r="T129" s="82">
        <v>3.8879927221160657</v>
      </c>
      <c r="U129" s="82">
        <v>5.0655919827628795</v>
      </c>
      <c r="V129" s="82">
        <v>6.2785769602505104</v>
      </c>
      <c r="W129" s="82">
        <v>7.5269476545775031</v>
      </c>
      <c r="X129" s="82">
        <v>8.8107040657455169</v>
      </c>
      <c r="Y129" s="82">
        <v>10.129846193754142</v>
      </c>
      <c r="Z129" s="82">
        <v>11.484374038602335</v>
      </c>
      <c r="AA129" s="82">
        <v>12.874287600290511</v>
      </c>
      <c r="AB129" s="82">
        <v>14.299586878819927</v>
      </c>
      <c r="AC129" s="82">
        <v>15.760271874190154</v>
      </c>
      <c r="AD129" s="82">
        <v>17.256342586399118</v>
      </c>
      <c r="AE129" s="82">
        <v>18.787799015448897</v>
      </c>
      <c r="AF129" s="82">
        <v>20.354641161339497</v>
      </c>
      <c r="AG129" s="82">
        <v>21.956869024070496</v>
      </c>
      <c r="AH129" s="82">
        <v>23.594482603641474</v>
      </c>
      <c r="AI129" s="82">
        <v>25.267481900052438</v>
      </c>
      <c r="AJ129" s="82">
        <v>26.975866913303815</v>
      </c>
      <c r="AK129" s="82">
        <v>28.719637643396407</v>
      </c>
      <c r="AL129" s="82">
        <v>30.498794090328168</v>
      </c>
      <c r="AM129" s="82">
        <v>32.313336254100733</v>
      </c>
      <c r="AN129" s="82">
        <v>34.163264134714112</v>
      </c>
      <c r="AO129" s="82">
        <v>34.163264134714112</v>
      </c>
      <c r="AP129" s="82">
        <v>34.163264134714098</v>
      </c>
      <c r="AQ129" s="82">
        <v>34.163264134714098</v>
      </c>
      <c r="AR129" s="28" t="s">
        <v>116</v>
      </c>
    </row>
    <row r="130" spans="2:44" ht="15" customHeight="1" x14ac:dyDescent="0.25">
      <c r="B130" s="101" t="s">
        <v>68</v>
      </c>
      <c r="D130" s="82">
        <v>0</v>
      </c>
      <c r="E130" s="82">
        <v>0</v>
      </c>
      <c r="F130" s="82">
        <v>0</v>
      </c>
      <c r="G130" s="82">
        <v>0</v>
      </c>
      <c r="H130" s="82">
        <v>0</v>
      </c>
      <c r="I130" s="82">
        <v>0</v>
      </c>
      <c r="J130" s="82">
        <v>4.5173914499006251</v>
      </c>
      <c r="K130" s="82">
        <v>4.5393967747816788</v>
      </c>
      <c r="L130" s="82">
        <v>4.5615237900197787</v>
      </c>
      <c r="M130" s="82">
        <v>4.5837732622207543</v>
      </c>
      <c r="N130" s="82">
        <v>4.6061459634128763</v>
      </c>
      <c r="O130" s="82">
        <v>4.6286426710893327</v>
      </c>
      <c r="P130" s="82">
        <v>4.6512641682497513</v>
      </c>
      <c r="Q130" s="82">
        <v>4.6740112434435579</v>
      </c>
      <c r="R130" s="82">
        <v>4.6968846908128015</v>
      </c>
      <c r="S130" s="82">
        <v>4.7198853101356439</v>
      </c>
      <c r="T130" s="82">
        <v>4.7430139068697263</v>
      </c>
      <c r="U130" s="82">
        <v>4.7662712921968833</v>
      </c>
      <c r="V130" s="82">
        <v>4.7896582830670553</v>
      </c>
      <c r="W130" s="82">
        <v>4.8131757022436954</v>
      </c>
      <c r="X130" s="82">
        <v>4.8368243783482825</v>
      </c>
      <c r="Y130" s="82">
        <v>4.8606051459067592</v>
      </c>
      <c r="Z130" s="82">
        <v>4.8845188453947683</v>
      </c>
      <c r="AA130" s="82">
        <v>4.9085663232844663</v>
      </c>
      <c r="AB130" s="82">
        <v>4.9327484320909196</v>
      </c>
      <c r="AC130" s="82">
        <v>4.9570660304198739</v>
      </c>
      <c r="AD130" s="82">
        <v>4.981519983014091</v>
      </c>
      <c r="AE130" s="82">
        <v>5.0061111608026287</v>
      </c>
      <c r="AF130" s="82">
        <v>5.0308404409483183</v>
      </c>
      <c r="AG130" s="82">
        <v>5.0557087068964508</v>
      </c>
      <c r="AH130" s="82">
        <v>5.0807168484245775</v>
      </c>
      <c r="AI130" s="82">
        <v>5.1058657616909677</v>
      </c>
      <c r="AJ130" s="82">
        <v>5.1058657616909677</v>
      </c>
      <c r="AK130" s="82">
        <v>5.1058657616909677</v>
      </c>
      <c r="AL130" s="82">
        <v>5.1058657616909677</v>
      </c>
      <c r="AM130" s="82">
        <v>5.1058657616909677</v>
      </c>
      <c r="AN130" s="82">
        <v>5.1058657616909677</v>
      </c>
      <c r="AO130" s="82">
        <v>5.1058657616909677</v>
      </c>
      <c r="AP130" s="82">
        <v>5.1058657616909704</v>
      </c>
      <c r="AQ130" s="82">
        <v>5.1058657616909704</v>
      </c>
      <c r="AR130" s="28" t="s">
        <v>117</v>
      </c>
    </row>
    <row r="131" spans="2:44" ht="15" customHeight="1" x14ac:dyDescent="0.25">
      <c r="B131" s="85" t="s">
        <v>69</v>
      </c>
      <c r="D131" s="82">
        <v>0</v>
      </c>
      <c r="E131" s="82">
        <v>0</v>
      </c>
      <c r="F131" s="82">
        <v>0</v>
      </c>
      <c r="G131" s="82">
        <v>0</v>
      </c>
      <c r="H131" s="82">
        <v>0</v>
      </c>
      <c r="I131" s="82">
        <v>0</v>
      </c>
      <c r="J131" s="82">
        <v>6.8295092110590918</v>
      </c>
      <c r="K131" s="82">
        <v>6.8576648571181069</v>
      </c>
      <c r="L131" s="82">
        <v>6.8859416297188805</v>
      </c>
      <c r="M131" s="82">
        <v>6.9143400713521057</v>
      </c>
      <c r="N131" s="82">
        <v>6.9428607270285703</v>
      </c>
      <c r="O131" s="82">
        <v>6.9715041442919441</v>
      </c>
      <c r="P131" s="82">
        <v>7.0002708732296428</v>
      </c>
      <c r="Q131" s="82">
        <v>7.029161466485971</v>
      </c>
      <c r="R131" s="82">
        <v>7.0581764792744153</v>
      </c>
      <c r="S131" s="82">
        <v>7.0873164693898429</v>
      </c>
      <c r="T131" s="82">
        <v>7.116581997220262</v>
      </c>
      <c r="U131" s="82">
        <v>7.1459736257603899</v>
      </c>
      <c r="V131" s="82">
        <v>7.1754919206231724</v>
      </c>
      <c r="W131" s="82">
        <v>7.205137450053277</v>
      </c>
      <c r="X131" s="82">
        <v>7.2349107849385375</v>
      </c>
      <c r="Y131" s="82">
        <v>7.2648124988240514</v>
      </c>
      <c r="Z131" s="82">
        <v>7.2948431679239158</v>
      </c>
      <c r="AA131" s="82">
        <v>7.3250033711344971</v>
      </c>
      <c r="AB131" s="82">
        <v>7.3552936900468913</v>
      </c>
      <c r="AC131" s="82">
        <v>7.3857147089609692</v>
      </c>
      <c r="AD131" s="82">
        <v>7.4162670148966727</v>
      </c>
      <c r="AE131" s="82">
        <v>7.4469511976088283</v>
      </c>
      <c r="AF131" s="82">
        <v>7.4777678495992497</v>
      </c>
      <c r="AG131" s="82">
        <v>7.5087175661299161</v>
      </c>
      <c r="AH131" s="82">
        <v>7.5398009452374213</v>
      </c>
      <c r="AI131" s="82">
        <v>7.5710185877443292</v>
      </c>
      <c r="AJ131" s="82">
        <v>7.5710185877443292</v>
      </c>
      <c r="AK131" s="82">
        <v>7.5710185877443292</v>
      </c>
      <c r="AL131" s="82">
        <v>7.5710185877443292</v>
      </c>
      <c r="AM131" s="82">
        <v>7.5710185877443292</v>
      </c>
      <c r="AN131" s="82">
        <v>7.5710185877443292</v>
      </c>
      <c r="AO131" s="82">
        <v>7.5710185877443292</v>
      </c>
      <c r="AP131" s="82">
        <v>7.5710185877443301</v>
      </c>
      <c r="AQ131" s="82">
        <v>7.5710185877443301</v>
      </c>
      <c r="AR131" s="28" t="s">
        <v>118</v>
      </c>
    </row>
    <row r="132" spans="2:44" ht="15" customHeight="1" x14ac:dyDescent="0.25">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row>
    <row r="133" spans="2:44" ht="15" customHeight="1" x14ac:dyDescent="0.25">
      <c r="B133" s="187" t="s">
        <v>70</v>
      </c>
      <c r="D133" s="81" t="s">
        <v>64</v>
      </c>
      <c r="E133" s="80">
        <v>45</v>
      </c>
      <c r="F133" s="80">
        <v>46</v>
      </c>
      <c r="G133" s="80">
        <v>47</v>
      </c>
      <c r="H133" s="80">
        <v>48</v>
      </c>
      <c r="I133" s="80">
        <v>49</v>
      </c>
      <c r="J133" s="80">
        <v>50</v>
      </c>
      <c r="K133" s="80">
        <v>51</v>
      </c>
      <c r="L133" s="80">
        <v>52</v>
      </c>
      <c r="M133" s="80">
        <v>53</v>
      </c>
      <c r="N133" s="80">
        <v>54</v>
      </c>
      <c r="O133" s="80">
        <v>55</v>
      </c>
      <c r="P133" s="80">
        <v>56</v>
      </c>
      <c r="Q133" s="80">
        <v>57</v>
      </c>
      <c r="R133" s="80">
        <v>58</v>
      </c>
      <c r="S133" s="80">
        <v>59</v>
      </c>
      <c r="T133" s="80">
        <v>60</v>
      </c>
      <c r="U133" s="80">
        <v>61</v>
      </c>
      <c r="V133" s="80">
        <v>62</v>
      </c>
      <c r="W133" s="80">
        <v>63</v>
      </c>
      <c r="X133" s="80">
        <v>64</v>
      </c>
      <c r="Y133" s="80">
        <v>65</v>
      </c>
      <c r="Z133" s="80">
        <v>66</v>
      </c>
      <c r="AA133" s="80">
        <v>67</v>
      </c>
      <c r="AB133" s="80">
        <v>68</v>
      </c>
      <c r="AC133" s="80">
        <v>69</v>
      </c>
      <c r="AD133" s="80">
        <v>70</v>
      </c>
      <c r="AE133" s="80">
        <v>71</v>
      </c>
      <c r="AF133" s="80">
        <v>72</v>
      </c>
      <c r="AG133" s="80">
        <v>73</v>
      </c>
      <c r="AH133" s="80">
        <v>74</v>
      </c>
      <c r="AI133" s="80">
        <v>75</v>
      </c>
      <c r="AJ133" s="80">
        <v>76</v>
      </c>
      <c r="AK133" s="80">
        <v>77</v>
      </c>
      <c r="AL133" s="80">
        <v>78</v>
      </c>
      <c r="AM133" s="80">
        <v>79</v>
      </c>
      <c r="AN133" s="80">
        <v>80</v>
      </c>
      <c r="AO133" s="80">
        <v>81</v>
      </c>
      <c r="AP133" s="80">
        <v>82</v>
      </c>
      <c r="AQ133" s="80">
        <v>83</v>
      </c>
    </row>
    <row r="134" spans="2:44" ht="15" customHeight="1" x14ac:dyDescent="0.25">
      <c r="B134" s="187"/>
      <c r="D134" s="81">
        <v>45</v>
      </c>
      <c r="E134" s="80">
        <v>46</v>
      </c>
      <c r="F134" s="81">
        <v>47</v>
      </c>
      <c r="G134" s="80">
        <v>48</v>
      </c>
      <c r="H134" s="81">
        <v>49</v>
      </c>
      <c r="I134" s="80">
        <v>50</v>
      </c>
      <c r="J134" s="81">
        <v>51</v>
      </c>
      <c r="K134" s="80">
        <v>52</v>
      </c>
      <c r="L134" s="81">
        <v>53</v>
      </c>
      <c r="M134" s="80">
        <v>54</v>
      </c>
      <c r="N134" s="81">
        <v>55</v>
      </c>
      <c r="O134" s="80">
        <v>56</v>
      </c>
      <c r="P134" s="81">
        <v>57</v>
      </c>
      <c r="Q134" s="80">
        <v>58</v>
      </c>
      <c r="R134" s="81">
        <v>59</v>
      </c>
      <c r="S134" s="80">
        <v>60</v>
      </c>
      <c r="T134" s="81">
        <v>61</v>
      </c>
      <c r="U134" s="80">
        <v>62</v>
      </c>
      <c r="V134" s="81">
        <v>63</v>
      </c>
      <c r="W134" s="80">
        <v>64</v>
      </c>
      <c r="X134" s="81">
        <v>65</v>
      </c>
      <c r="Y134" s="80">
        <v>66</v>
      </c>
      <c r="Z134" s="81">
        <v>67</v>
      </c>
      <c r="AA134" s="80">
        <v>68</v>
      </c>
      <c r="AB134" s="81">
        <v>69</v>
      </c>
      <c r="AC134" s="80">
        <v>70</v>
      </c>
      <c r="AD134" s="81">
        <v>71</v>
      </c>
      <c r="AE134" s="80">
        <v>72</v>
      </c>
      <c r="AF134" s="81">
        <v>73</v>
      </c>
      <c r="AG134" s="80">
        <v>74</v>
      </c>
      <c r="AH134" s="81">
        <v>75</v>
      </c>
      <c r="AI134" s="80">
        <v>76</v>
      </c>
      <c r="AJ134" s="81">
        <v>77</v>
      </c>
      <c r="AK134" s="80">
        <v>78</v>
      </c>
      <c r="AL134" s="81">
        <v>79</v>
      </c>
      <c r="AM134" s="80">
        <v>80</v>
      </c>
      <c r="AN134" s="81">
        <v>81</v>
      </c>
      <c r="AO134" s="80">
        <v>82</v>
      </c>
      <c r="AP134" s="81">
        <v>83</v>
      </c>
      <c r="AQ134" s="80">
        <v>84</v>
      </c>
    </row>
    <row r="135" spans="2:44" ht="15" customHeight="1" x14ac:dyDescent="0.25">
      <c r="B135" s="101" t="s">
        <v>65</v>
      </c>
      <c r="D135" s="82">
        <v>0</v>
      </c>
      <c r="E135" s="82">
        <v>33.88000483382838</v>
      </c>
      <c r="F135" s="82">
        <v>36.437702717978283</v>
      </c>
      <c r="G135" s="82">
        <v>38.995400602126665</v>
      </c>
      <c r="H135" s="82">
        <v>41.553098486275964</v>
      </c>
      <c r="I135" s="82">
        <v>44.110796370425881</v>
      </c>
      <c r="J135" s="82">
        <v>46.668494254574568</v>
      </c>
      <c r="K135" s="82">
        <v>49.226192138724478</v>
      </c>
      <c r="L135" s="82">
        <v>51.78389002287318</v>
      </c>
      <c r="M135" s="82">
        <v>54.341587907023083</v>
      </c>
      <c r="N135" s="82">
        <v>56.899285791171778</v>
      </c>
      <c r="O135" s="82">
        <v>59.456983675321084</v>
      </c>
      <c r="P135" s="82">
        <v>62.014681559470375</v>
      </c>
      <c r="Q135" s="82">
        <v>64.572379443619681</v>
      </c>
      <c r="R135" s="82">
        <v>67.130077327768973</v>
      </c>
      <c r="S135" s="82">
        <v>69.687775211917653</v>
      </c>
      <c r="T135" s="82">
        <v>72.245473096068181</v>
      </c>
      <c r="U135" s="82">
        <v>74.803170980216265</v>
      </c>
      <c r="V135" s="82">
        <v>77.360868864366196</v>
      </c>
      <c r="W135" s="82">
        <v>79.918566748514877</v>
      </c>
      <c r="X135" s="82">
        <v>82.476264632664169</v>
      </c>
      <c r="Y135" s="82">
        <v>85.033962516814086</v>
      </c>
      <c r="Z135" s="82">
        <v>85.033962516814086</v>
      </c>
      <c r="AA135" s="82">
        <v>85.033962516814086</v>
      </c>
      <c r="AB135" s="82">
        <v>85.033962516814086</v>
      </c>
      <c r="AC135" s="82">
        <v>85.033962516814086</v>
      </c>
      <c r="AD135" s="82">
        <v>85.033962516814086</v>
      </c>
      <c r="AE135" s="82">
        <v>85.033962516814086</v>
      </c>
      <c r="AF135" s="82">
        <v>85.033962516814086</v>
      </c>
      <c r="AG135" s="82">
        <v>85.033962516814086</v>
      </c>
      <c r="AH135" s="82">
        <v>85.033962516814086</v>
      </c>
      <c r="AI135" s="82">
        <v>85.033962516814086</v>
      </c>
      <c r="AJ135" s="82">
        <v>85.033962516814086</v>
      </c>
      <c r="AK135" s="82">
        <v>85.033962516814086</v>
      </c>
      <c r="AL135" s="82">
        <v>85.033962516814086</v>
      </c>
      <c r="AM135" s="82">
        <v>85.033962516814086</v>
      </c>
      <c r="AN135" s="82">
        <v>85.033962516814086</v>
      </c>
      <c r="AO135" s="82">
        <v>85.033962516814086</v>
      </c>
      <c r="AP135" s="82">
        <v>85.0339625168141</v>
      </c>
      <c r="AQ135" s="82">
        <v>85.0339625168141</v>
      </c>
      <c r="AR135" s="28" t="s">
        <v>576</v>
      </c>
    </row>
    <row r="136" spans="2:44" ht="15" customHeight="1" x14ac:dyDescent="0.25">
      <c r="B136" s="101"/>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28"/>
    </row>
    <row r="137" spans="2:44" ht="15" customHeight="1" x14ac:dyDescent="0.25">
      <c r="B137" s="103" t="s">
        <v>92</v>
      </c>
      <c r="D137" s="104" t="s">
        <v>632</v>
      </c>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28"/>
    </row>
    <row r="138" spans="2:44" ht="15" customHeight="1" x14ac:dyDescent="0.25">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row>
    <row r="139" spans="2:44" s="2" customFormat="1" ht="18.75" x14ac:dyDescent="0.3">
      <c r="B139" s="2" t="s">
        <v>73</v>
      </c>
    </row>
    <row r="140" spans="2:44" ht="15" customHeight="1" x14ac:dyDescent="0.25"/>
    <row r="141" spans="2:44" ht="15" customHeight="1" x14ac:dyDescent="0.25">
      <c r="B141" s="85" t="s">
        <v>74</v>
      </c>
      <c r="D141" s="73">
        <v>60</v>
      </c>
      <c r="E141" s="28" t="s">
        <v>75</v>
      </c>
      <c r="F141" s="28"/>
    </row>
    <row r="142" spans="2:44" ht="15" customHeight="1" x14ac:dyDescent="0.25">
      <c r="B142" s="85" t="s">
        <v>76</v>
      </c>
      <c r="D142" s="73">
        <v>2010</v>
      </c>
      <c r="E142" s="28" t="s">
        <v>77</v>
      </c>
      <c r="F142" s="28"/>
    </row>
    <row r="143" spans="2:44" ht="15" customHeight="1" x14ac:dyDescent="0.25">
      <c r="B143" s="85" t="s">
        <v>78</v>
      </c>
      <c r="D143" s="73">
        <v>2010</v>
      </c>
      <c r="E143" s="28" t="s">
        <v>79</v>
      </c>
      <c r="F143" s="28"/>
    </row>
    <row r="144" spans="2:44" ht="15" customHeight="1" x14ac:dyDescent="0.25"/>
    <row r="145" spans="2:96" ht="15" customHeight="1" x14ac:dyDescent="0.25">
      <c r="B145" s="85" t="s">
        <v>80</v>
      </c>
      <c r="D145" s="73">
        <v>30</v>
      </c>
      <c r="E145" s="15" t="s">
        <v>81</v>
      </c>
      <c r="F145" s="15"/>
    </row>
    <row r="146" spans="2:96" ht="15" customHeight="1" x14ac:dyDescent="0.25">
      <c r="B146" s="85" t="s">
        <v>82</v>
      </c>
      <c r="D146" s="73">
        <v>75</v>
      </c>
      <c r="E146" s="15" t="s">
        <v>83</v>
      </c>
      <c r="F146" s="15"/>
    </row>
    <row r="147" spans="2:96" ht="15" customHeight="1" x14ac:dyDescent="0.25">
      <c r="B147" s="85" t="s">
        <v>84</v>
      </c>
      <c r="D147" s="73">
        <v>125</v>
      </c>
      <c r="E147" s="15" t="s">
        <v>85</v>
      </c>
      <c r="F147" s="15"/>
    </row>
    <row r="148" spans="2:96" ht="15" customHeight="1" x14ac:dyDescent="0.25">
      <c r="B148" s="85" t="s">
        <v>86</v>
      </c>
      <c r="D148" s="105">
        <v>3.5000000000000003E-2</v>
      </c>
      <c r="E148" s="15" t="s">
        <v>87</v>
      </c>
      <c r="F148" s="15"/>
    </row>
    <row r="149" spans="2:96" ht="15" customHeight="1" x14ac:dyDescent="0.25">
      <c r="B149" s="85" t="s">
        <v>88</v>
      </c>
      <c r="D149" s="105">
        <v>0.03</v>
      </c>
      <c r="E149" s="15" t="s">
        <v>89</v>
      </c>
      <c r="F149" s="15"/>
    </row>
    <row r="150" spans="2:96" ht="15" customHeight="1" x14ac:dyDescent="0.25">
      <c r="B150" s="85" t="s">
        <v>90</v>
      </c>
      <c r="D150" s="105">
        <v>2.5000000000000001E-2</v>
      </c>
      <c r="E150" s="15" t="s">
        <v>91</v>
      </c>
      <c r="F150" s="15"/>
    </row>
    <row r="151" spans="2:96" ht="15" customHeight="1" x14ac:dyDescent="0.25">
      <c r="D151" s="106"/>
      <c r="E151" s="15"/>
      <c r="F151" s="15"/>
    </row>
    <row r="152" spans="2:96" ht="15" customHeight="1" x14ac:dyDescent="0.25">
      <c r="B152" s="103" t="s">
        <v>92</v>
      </c>
      <c r="C152" s="103"/>
      <c r="D152" s="185" t="s">
        <v>834</v>
      </c>
      <c r="E152" s="15"/>
      <c r="F152" s="15"/>
    </row>
    <row r="153" spans="2:96" ht="15" customHeight="1" x14ac:dyDescent="0.25">
      <c r="D153" s="106"/>
    </row>
    <row r="154" spans="2:96" ht="15" customHeight="1" x14ac:dyDescent="0.25">
      <c r="D154" s="31">
        <v>2010</v>
      </c>
      <c r="E154" s="31">
        <v>2011</v>
      </c>
      <c r="F154" s="31">
        <v>2012</v>
      </c>
      <c r="G154" s="31">
        <v>2013</v>
      </c>
      <c r="H154" s="31">
        <v>2014</v>
      </c>
      <c r="I154" s="31">
        <v>2015</v>
      </c>
      <c r="J154" s="31">
        <v>2016</v>
      </c>
      <c r="K154" s="31">
        <v>2017</v>
      </c>
      <c r="L154" s="31">
        <v>2018</v>
      </c>
      <c r="M154" s="31">
        <v>2019</v>
      </c>
      <c r="N154" s="31">
        <v>2020</v>
      </c>
      <c r="O154" s="31">
        <v>2021</v>
      </c>
      <c r="P154" s="31">
        <v>2022</v>
      </c>
      <c r="Q154" s="31">
        <v>2023</v>
      </c>
      <c r="R154" s="31">
        <v>2024</v>
      </c>
      <c r="S154" s="31">
        <v>2025</v>
      </c>
      <c r="T154" s="31">
        <v>2026</v>
      </c>
      <c r="U154" s="31">
        <v>2027</v>
      </c>
      <c r="V154" s="31">
        <v>2028</v>
      </c>
      <c r="W154" s="31">
        <v>2029</v>
      </c>
      <c r="X154" s="31">
        <v>2030</v>
      </c>
      <c r="Y154" s="31">
        <v>2031</v>
      </c>
      <c r="Z154" s="31">
        <v>2032</v>
      </c>
      <c r="AA154" s="31">
        <v>2033</v>
      </c>
      <c r="AB154" s="31">
        <v>2034</v>
      </c>
      <c r="AC154" s="31">
        <v>2035</v>
      </c>
      <c r="AD154" s="31">
        <v>2036</v>
      </c>
      <c r="AE154" s="31">
        <v>2037</v>
      </c>
      <c r="AF154" s="31">
        <v>2038</v>
      </c>
      <c r="AG154" s="31">
        <v>2039</v>
      </c>
      <c r="AH154" s="31">
        <v>2040</v>
      </c>
      <c r="AI154" s="31">
        <v>2041</v>
      </c>
      <c r="AJ154" s="31">
        <v>2042</v>
      </c>
      <c r="AK154" s="31">
        <v>2043</v>
      </c>
      <c r="AL154" s="31">
        <v>2044</v>
      </c>
      <c r="AM154" s="31">
        <v>2045</v>
      </c>
      <c r="AN154" s="31">
        <v>2046</v>
      </c>
      <c r="AO154" s="31">
        <v>2047</v>
      </c>
      <c r="AP154" s="31">
        <v>2048</v>
      </c>
      <c r="AQ154" s="31">
        <v>2049</v>
      </c>
      <c r="AR154" s="31">
        <v>2050</v>
      </c>
      <c r="AS154" s="31">
        <v>2051</v>
      </c>
      <c r="AT154" s="31">
        <v>2052</v>
      </c>
      <c r="AU154" s="31">
        <v>2053</v>
      </c>
      <c r="AV154" s="31">
        <v>2054</v>
      </c>
      <c r="AW154" s="31">
        <v>2055</v>
      </c>
      <c r="AX154" s="31">
        <v>2056</v>
      </c>
      <c r="AY154" s="31">
        <v>2057</v>
      </c>
      <c r="AZ154" s="31">
        <v>2058</v>
      </c>
      <c r="BA154" s="31">
        <v>2059</v>
      </c>
      <c r="BB154" s="31">
        <v>2060</v>
      </c>
      <c r="BC154" s="31">
        <v>2061</v>
      </c>
      <c r="BD154" s="31">
        <v>2062</v>
      </c>
      <c r="BE154" s="31">
        <v>2063</v>
      </c>
      <c r="BF154" s="31">
        <v>2064</v>
      </c>
      <c r="BG154" s="31">
        <v>2065</v>
      </c>
      <c r="BH154" s="31">
        <v>2066</v>
      </c>
      <c r="BI154" s="31">
        <v>2067</v>
      </c>
      <c r="BJ154" s="31">
        <v>2068</v>
      </c>
      <c r="BK154" s="31">
        <v>2069</v>
      </c>
      <c r="BL154" s="31">
        <v>2070</v>
      </c>
      <c r="BM154" s="31">
        <v>2071</v>
      </c>
      <c r="BN154" s="31">
        <v>2072</v>
      </c>
      <c r="BO154" s="31">
        <v>2073</v>
      </c>
      <c r="BP154" s="31">
        <v>2074</v>
      </c>
      <c r="BQ154" s="31">
        <v>2075</v>
      </c>
      <c r="BR154" s="31">
        <v>2076</v>
      </c>
      <c r="BS154" s="31">
        <v>2077</v>
      </c>
      <c r="BT154" s="31">
        <v>2078</v>
      </c>
      <c r="BU154" s="31">
        <v>2079</v>
      </c>
      <c r="BV154" s="31">
        <v>2080</v>
      </c>
      <c r="BW154" s="31">
        <v>2081</v>
      </c>
      <c r="BX154" s="31">
        <v>2082</v>
      </c>
      <c r="BY154" s="31">
        <v>2083</v>
      </c>
      <c r="BZ154" s="31">
        <v>2084</v>
      </c>
      <c r="CA154" s="31">
        <v>2085</v>
      </c>
      <c r="CB154" s="31">
        <v>2086</v>
      </c>
      <c r="CC154" s="31">
        <v>2087</v>
      </c>
      <c r="CD154" s="31">
        <v>2088</v>
      </c>
      <c r="CE154" s="31">
        <v>2089</v>
      </c>
      <c r="CF154" s="31">
        <v>2090</v>
      </c>
      <c r="CG154" s="31">
        <v>2091</v>
      </c>
      <c r="CH154" s="31">
        <v>2092</v>
      </c>
      <c r="CI154" s="31">
        <v>2093</v>
      </c>
      <c r="CJ154" s="31">
        <v>2094</v>
      </c>
      <c r="CK154" s="31">
        <v>2095</v>
      </c>
      <c r="CL154" s="31">
        <v>2096</v>
      </c>
      <c r="CM154" s="31">
        <v>2097</v>
      </c>
      <c r="CN154" s="31">
        <v>2098</v>
      </c>
      <c r="CO154" s="31">
        <v>2099</v>
      </c>
      <c r="CP154" s="31">
        <v>2100</v>
      </c>
    </row>
    <row r="155" spans="2:96" ht="15" customHeight="1" x14ac:dyDescent="0.25">
      <c r="B155" s="85" t="s">
        <v>93</v>
      </c>
      <c r="D155" s="107">
        <v>100</v>
      </c>
      <c r="E155" s="107">
        <v>102.09764922517954</v>
      </c>
      <c r="F155" s="107">
        <v>103.75523443713455</v>
      </c>
      <c r="G155" s="107">
        <v>105.81198752021939</v>
      </c>
      <c r="H155" s="107">
        <v>107.62142656505769</v>
      </c>
      <c r="I155" s="107">
        <v>108.91288368383837</v>
      </c>
      <c r="J155" s="107">
        <v>110.6554898227798</v>
      </c>
      <c r="K155" s="107">
        <v>112.64728863958983</v>
      </c>
      <c r="L155" s="107">
        <v>114.78758712374204</v>
      </c>
      <c r="M155" s="107">
        <v>117.08333886621689</v>
      </c>
      <c r="N155" s="107">
        <v>119.65917232127366</v>
      </c>
      <c r="O155" s="107">
        <v>122.32158890542199</v>
      </c>
      <c r="P155" s="107">
        <v>125.073824655794</v>
      </c>
      <c r="Q155" s="107">
        <v>127.9192541667133</v>
      </c>
      <c r="R155" s="107">
        <v>130.86139701254771</v>
      </c>
      <c r="S155" s="107">
        <v>133.87120914383627</v>
      </c>
      <c r="T155" s="107">
        <v>136.95024695414452</v>
      </c>
      <c r="U155" s="107">
        <v>140.10010263408984</v>
      </c>
      <c r="V155" s="107">
        <v>143.32240499467389</v>
      </c>
      <c r="W155" s="107">
        <v>146.61882030955135</v>
      </c>
      <c r="X155" s="107">
        <v>149.99105317667102</v>
      </c>
      <c r="Y155" s="107">
        <v>153.44084739973445</v>
      </c>
      <c r="Z155" s="107">
        <v>156.96998688992835</v>
      </c>
      <c r="AA155" s="107">
        <v>160.58029658839666</v>
      </c>
      <c r="AB155" s="107">
        <v>164.2736434099298</v>
      </c>
      <c r="AC155" s="107">
        <v>168.05193720835817</v>
      </c>
      <c r="AD155" s="107">
        <v>171.91713176415041</v>
      </c>
      <c r="AE155" s="107">
        <v>175.87122579472586</v>
      </c>
      <c r="AF155" s="107">
        <v>179.91626398800452</v>
      </c>
      <c r="AG155" s="107">
        <v>184.05433805972862</v>
      </c>
      <c r="AH155" s="107">
        <v>188.28758783510236</v>
      </c>
      <c r="AI155" s="107">
        <v>192.61820235530971</v>
      </c>
      <c r="AJ155" s="107">
        <v>197.04842100948181</v>
      </c>
      <c r="AK155" s="107">
        <v>201.5805346926999</v>
      </c>
      <c r="AL155" s="107">
        <v>206.21688699063196</v>
      </c>
      <c r="AM155" s="107">
        <v>210.95987539141649</v>
      </c>
      <c r="AN155" s="107">
        <v>215.81195252541906</v>
      </c>
      <c r="AO155" s="107">
        <v>220.77562743350364</v>
      </c>
      <c r="AP155" s="107">
        <v>225.85346686447423</v>
      </c>
      <c r="AQ155" s="107">
        <v>231.04809660235711</v>
      </c>
      <c r="AR155" s="107">
        <v>236.36220282421129</v>
      </c>
      <c r="AS155" s="107">
        <v>241.79853348916814</v>
      </c>
      <c r="AT155" s="107">
        <v>247.35989975941899</v>
      </c>
      <c r="AU155" s="107">
        <v>253.04917745388562</v>
      </c>
      <c r="AV155" s="107">
        <v>258.86930853532493</v>
      </c>
      <c r="AW155" s="107">
        <v>264.82330263163743</v>
      </c>
      <c r="AX155" s="107">
        <v>270.91423859216508</v>
      </c>
      <c r="AY155" s="107">
        <v>277.14526607978485</v>
      </c>
      <c r="AZ155" s="107">
        <v>283.51960719961983</v>
      </c>
      <c r="BA155" s="107">
        <v>290.04055816521105</v>
      </c>
      <c r="BB155" s="107">
        <v>296.71149100301085</v>
      </c>
      <c r="BC155" s="107">
        <v>303.53585529608006</v>
      </c>
      <c r="BD155" s="107">
        <v>310.51717996788989</v>
      </c>
      <c r="BE155" s="107">
        <v>317.65907510715135</v>
      </c>
      <c r="BF155" s="107">
        <v>324.96523383461579</v>
      </c>
      <c r="BG155" s="107">
        <v>332.43943421281193</v>
      </c>
      <c r="BH155" s="107">
        <v>340.0855411997066</v>
      </c>
      <c r="BI155" s="107">
        <v>347.90750864729984</v>
      </c>
      <c r="BJ155" s="107">
        <v>355.90938134618773</v>
      </c>
      <c r="BK155" s="107">
        <v>364.09529711714998</v>
      </c>
      <c r="BL155" s="107">
        <v>372.46948895084444</v>
      </c>
      <c r="BM155" s="107">
        <v>381.03628719671383</v>
      </c>
      <c r="BN155" s="107">
        <v>389.80012180223821</v>
      </c>
      <c r="BO155" s="107">
        <v>398.76552460368964</v>
      </c>
      <c r="BP155" s="107">
        <v>407.93713166957451</v>
      </c>
      <c r="BQ155" s="107">
        <v>417.31968569797465</v>
      </c>
      <c r="BR155" s="107">
        <v>426.91803846902803</v>
      </c>
      <c r="BS155" s="107">
        <v>436.73715335381553</v>
      </c>
      <c r="BT155" s="107">
        <v>446.78210788095328</v>
      </c>
      <c r="BU155" s="107">
        <v>457.05809636221517</v>
      </c>
      <c r="BV155" s="107">
        <v>467.57043257854605</v>
      </c>
      <c r="BW155" s="107">
        <v>478.32455252785257</v>
      </c>
      <c r="BX155" s="107">
        <v>489.32601723599316</v>
      </c>
      <c r="BY155" s="107">
        <v>500.580515632421</v>
      </c>
      <c r="BZ155" s="107">
        <v>512.09386749196653</v>
      </c>
      <c r="CA155" s="107">
        <v>523.8720264442818</v>
      </c>
      <c r="CB155" s="107">
        <v>535.92108305250019</v>
      </c>
      <c r="CC155" s="107">
        <v>548.24726796270761</v>
      </c>
      <c r="CD155" s="107">
        <v>560.85695512584971</v>
      </c>
      <c r="CE155" s="107">
        <v>573.75666509374435</v>
      </c>
      <c r="CF155" s="107">
        <v>586.9530683909004</v>
      </c>
      <c r="CG155" s="107">
        <v>600.45298896389113</v>
      </c>
      <c r="CH155" s="107">
        <v>614.26340771006062</v>
      </c>
      <c r="CI155" s="107">
        <v>628.3914660873919</v>
      </c>
      <c r="CJ155" s="107">
        <v>642.84446980740199</v>
      </c>
      <c r="CK155" s="107">
        <v>657.62989261297207</v>
      </c>
      <c r="CL155" s="107">
        <v>672.7553801430704</v>
      </c>
      <c r="CM155" s="107">
        <v>688.22875388636101</v>
      </c>
      <c r="CN155" s="107">
        <v>704.05801522574723</v>
      </c>
      <c r="CO155" s="107">
        <v>720.25134957593946</v>
      </c>
      <c r="CP155" s="107">
        <v>736.81713061618598</v>
      </c>
      <c r="CQ155" s="108" t="s">
        <v>94</v>
      </c>
      <c r="CR155" s="28"/>
    </row>
    <row r="156" spans="2:96" ht="15" customHeight="1" x14ac:dyDescent="0.25">
      <c r="B156" s="85" t="s">
        <v>95</v>
      </c>
      <c r="D156" s="109">
        <v>135.85383747114122</v>
      </c>
      <c r="E156" s="109">
        <v>137.3826648308017</v>
      </c>
      <c r="F156" s="109">
        <v>138.08630695240888</v>
      </c>
      <c r="G156" s="109">
        <v>140.18723816056195</v>
      </c>
      <c r="H156" s="109">
        <v>143.2119036053553</v>
      </c>
      <c r="I156" s="109">
        <v>145.58598084879083</v>
      </c>
      <c r="J156" s="109">
        <v>148.04707411766867</v>
      </c>
      <c r="K156" s="109">
        <v>150.70543577096086</v>
      </c>
      <c r="L156" s="109">
        <v>153.30564693497951</v>
      </c>
      <c r="M156" s="109">
        <v>155.826153613988</v>
      </c>
      <c r="N156" s="109">
        <v>158.41802169951933</v>
      </c>
      <c r="O156" s="109">
        <v>161.22004324385563</v>
      </c>
      <c r="P156" s="109">
        <v>164.09253814314314</v>
      </c>
      <c r="Q156" s="109">
        <v>167.03953400068099</v>
      </c>
      <c r="R156" s="109">
        <v>170.23088382759786</v>
      </c>
      <c r="S156" s="109">
        <v>173.51065471299597</v>
      </c>
      <c r="T156" s="109">
        <v>176.88244906267923</v>
      </c>
      <c r="U156" s="109">
        <v>180.34926134307338</v>
      </c>
      <c r="V156" s="109">
        <v>183.91413695090159</v>
      </c>
      <c r="W156" s="109">
        <v>187.57951261894112</v>
      </c>
      <c r="X156" s="109">
        <v>191.34764367119399</v>
      </c>
      <c r="Y156" s="109">
        <v>195.22029955829257</v>
      </c>
      <c r="Z156" s="109">
        <v>199.19868191463669</v>
      </c>
      <c r="AA156" s="109">
        <v>203.28311544052761</v>
      </c>
      <c r="AB156" s="109">
        <v>207.67607316363262</v>
      </c>
      <c r="AC156" s="109">
        <v>211.97679075289764</v>
      </c>
      <c r="AD156" s="109">
        <v>216.38323824687939</v>
      </c>
      <c r="AE156" s="109">
        <v>220.91078369096871</v>
      </c>
      <c r="AF156" s="109">
        <v>225.53306229421756</v>
      </c>
      <c r="AG156" s="109">
        <v>230.25205622810387</v>
      </c>
      <c r="AH156" s="109">
        <v>235.06978913853544</v>
      </c>
      <c r="AI156" s="109">
        <v>240.03165835249121</v>
      </c>
      <c r="AJ156" s="109">
        <v>245.09826304175681</v>
      </c>
      <c r="AK156" s="109">
        <v>250.27181396992057</v>
      </c>
      <c r="AL156" s="109">
        <v>255.55456856552013</v>
      </c>
      <c r="AM156" s="109">
        <v>260.94883190704934</v>
      </c>
      <c r="AN156" s="109">
        <v>266.78724134956354</v>
      </c>
      <c r="AO156" s="109">
        <v>272.49043370316139</v>
      </c>
      <c r="AP156" s="109">
        <v>278.31554494185133</v>
      </c>
      <c r="AQ156" s="109">
        <v>284.26518136288246</v>
      </c>
      <c r="AR156" s="109">
        <v>290.34200497911627</v>
      </c>
      <c r="AS156" s="109">
        <v>296.35351202123269</v>
      </c>
      <c r="AT156" s="109">
        <v>302.48948681619811</v>
      </c>
      <c r="AU156" s="109">
        <v>308.75250645847331</v>
      </c>
      <c r="AV156" s="109">
        <v>315.14520140104531</v>
      </c>
      <c r="AW156" s="109">
        <v>321.67025656021133</v>
      </c>
      <c r="AX156" s="109">
        <v>328.40754871481471</v>
      </c>
      <c r="AY156" s="109">
        <v>335.28595153989744</v>
      </c>
      <c r="AZ156" s="109">
        <v>342.64270612532238</v>
      </c>
      <c r="BA156" s="109">
        <v>350.16088065029925</v>
      </c>
      <c r="BB156" s="109">
        <v>358.19313306202162</v>
      </c>
      <c r="BC156" s="109">
        <v>366.43094849872483</v>
      </c>
      <c r="BD156" s="109">
        <v>374.84846405783389</v>
      </c>
      <c r="BE156" s="109">
        <v>383.45934365586533</v>
      </c>
      <c r="BF156" s="109">
        <v>391.88570166583418</v>
      </c>
      <c r="BG156" s="109">
        <v>400.49722535369534</v>
      </c>
      <c r="BH156" s="109">
        <v>409.24335170441407</v>
      </c>
      <c r="BI156" s="109">
        <v>418.18047744614029</v>
      </c>
      <c r="BJ156" s="109">
        <v>427.31277365597742</v>
      </c>
      <c r="BK156" s="109">
        <v>436.64450249971827</v>
      </c>
      <c r="BL156" s="109">
        <v>446.18001922105532</v>
      </c>
      <c r="BM156" s="109">
        <v>455.85435818632328</v>
      </c>
      <c r="BN156" s="109">
        <v>465.7384618886548</v>
      </c>
      <c r="BO156" s="109">
        <v>475.83687857109499</v>
      </c>
      <c r="BP156" s="109">
        <v>486.1542550943837</v>
      </c>
      <c r="BQ156" s="109">
        <v>496.69533907524271</v>
      </c>
      <c r="BR156" s="109">
        <v>507.45048464453214</v>
      </c>
      <c r="BS156" s="109">
        <v>518.4385157416624</v>
      </c>
      <c r="BT156" s="109">
        <v>529.66447513139462</v>
      </c>
      <c r="BU156" s="109">
        <v>541.13351477151991</v>
      </c>
      <c r="BV156" s="109">
        <v>552.85089817726043</v>
      </c>
      <c r="BW156" s="109">
        <v>564.86970840334584</v>
      </c>
      <c r="BX156" s="109">
        <v>577.14980390494918</v>
      </c>
      <c r="BY156" s="109">
        <v>589.6968649444193</v>
      </c>
      <c r="BZ156" s="109">
        <v>602.51669527127899</v>
      </c>
      <c r="CA156" s="109">
        <v>615.61522480679889</v>
      </c>
      <c r="CB156" s="109">
        <v>629.03749933287293</v>
      </c>
      <c r="CC156" s="109">
        <v>642.77594514021951</v>
      </c>
      <c r="CD156" s="109">
        <v>656.81444443150247</v>
      </c>
      <c r="CE156" s="109">
        <v>671.15955050208606</v>
      </c>
      <c r="CF156" s="109">
        <v>685.81795977408501</v>
      </c>
      <c r="CG156" s="109">
        <v>700.79651492231369</v>
      </c>
      <c r="CH156" s="109">
        <v>716.10784770662542</v>
      </c>
      <c r="CI156" s="109">
        <v>731.75370971110317</v>
      </c>
      <c r="CJ156" s="109">
        <v>747.7414098879276</v>
      </c>
      <c r="CK156" s="109">
        <v>764.07841687871405</v>
      </c>
      <c r="CL156" s="109">
        <v>780.7723625034821</v>
      </c>
      <c r="CM156" s="109">
        <v>797.83104532585503</v>
      </c>
      <c r="CN156" s="109">
        <v>815.26243429615215</v>
      </c>
      <c r="CO156" s="109">
        <v>833.07467247407794</v>
      </c>
      <c r="CP156" s="109">
        <v>851.27608083274561</v>
      </c>
      <c r="CQ156" s="108" t="s">
        <v>96</v>
      </c>
    </row>
    <row r="157" spans="2:96" ht="15" customHeight="1" x14ac:dyDescent="0.25"/>
    <row r="158" spans="2:96" ht="15" customHeight="1" x14ac:dyDescent="0.25">
      <c r="B158" s="85" t="s">
        <v>92</v>
      </c>
      <c r="D158" s="185" t="s">
        <v>835</v>
      </c>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28"/>
    </row>
    <row r="159" spans="2:96" ht="15" customHeight="1" x14ac:dyDescent="0.25">
      <c r="D159" s="103"/>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28"/>
    </row>
    <row r="160" spans="2:96" ht="15" customHeight="1" x14ac:dyDescent="0.25">
      <c r="B160" s="85" t="s">
        <v>615</v>
      </c>
      <c r="D160" s="74">
        <v>2.2999999999999998</v>
      </c>
      <c r="E160" s="74">
        <v>2.2999999999999998</v>
      </c>
      <c r="F160" s="74">
        <v>2.2999999999999998</v>
      </c>
      <c r="G160" s="74">
        <v>2.2999999999999998</v>
      </c>
      <c r="H160" s="74">
        <v>2.2999999999999998</v>
      </c>
      <c r="I160" s="74">
        <v>2.2999999999999998</v>
      </c>
      <c r="J160" s="74">
        <v>2.2999999999999998</v>
      </c>
      <c r="K160" s="74">
        <v>2.2999999999999998</v>
      </c>
      <c r="L160" s="74">
        <v>2.2999999999999998</v>
      </c>
      <c r="M160" s="74">
        <v>2.2999999999999998</v>
      </c>
      <c r="N160" s="74">
        <v>2.2999999999999998</v>
      </c>
      <c r="O160" s="74">
        <v>2.2999999999999998</v>
      </c>
      <c r="P160" s="74">
        <v>2.2999999999999998</v>
      </c>
      <c r="Q160" s="74">
        <v>2.2999999999999998</v>
      </c>
      <c r="R160" s="74">
        <v>2.2999999999999998</v>
      </c>
      <c r="S160" s="74">
        <v>2.2999999999999998</v>
      </c>
      <c r="T160" s="74">
        <v>2.2999999999999998</v>
      </c>
      <c r="U160" s="74">
        <v>2.2999999999999998</v>
      </c>
      <c r="V160" s="74">
        <v>2.2999999999999998</v>
      </c>
      <c r="W160" s="74">
        <v>2.2999999999999998</v>
      </c>
      <c r="X160" s="74">
        <v>2.2999999999999998</v>
      </c>
      <c r="Y160" s="74">
        <v>2.2999999999999998</v>
      </c>
      <c r="Z160" s="74">
        <v>2.2999999999999998</v>
      </c>
      <c r="AA160" s="74">
        <v>2.2999999999999998</v>
      </c>
      <c r="AB160" s="74">
        <v>2.2999999999999998</v>
      </c>
      <c r="AC160" s="74">
        <v>2.2999999999999998</v>
      </c>
      <c r="AD160" s="74">
        <v>2.2999999999999998</v>
      </c>
      <c r="AE160" s="74">
        <v>2.2999999999999998</v>
      </c>
      <c r="AF160" s="74">
        <v>2.2999999999999998</v>
      </c>
      <c r="AG160" s="74">
        <v>2.2999999999999998</v>
      </c>
      <c r="AH160" s="74">
        <v>2.2999999999999998</v>
      </c>
      <c r="AI160" s="74">
        <v>2.2999999999999998</v>
      </c>
      <c r="AJ160" s="74">
        <v>2.2999999999999998</v>
      </c>
      <c r="AK160" s="74">
        <v>2.2999999999999998</v>
      </c>
      <c r="AL160" s="74">
        <v>2.2999999999999998</v>
      </c>
      <c r="AM160" s="74">
        <v>2.2999999999999998</v>
      </c>
      <c r="AN160" s="74">
        <v>2.2999999999999998</v>
      </c>
      <c r="AO160" s="74">
        <v>2.2999999999999998</v>
      </c>
      <c r="AP160" s="74">
        <v>2.2999999999999998</v>
      </c>
      <c r="AQ160" s="74">
        <v>2.2999999999999998</v>
      </c>
      <c r="AR160" s="74">
        <v>2.2999999999999998</v>
      </c>
      <c r="AS160" s="74">
        <v>2.2999999999999998</v>
      </c>
      <c r="AT160" s="74">
        <v>2.2999999999999998</v>
      </c>
      <c r="AU160" s="74">
        <v>2.2999999999999998</v>
      </c>
      <c r="AV160" s="74">
        <v>2.2999999999999998</v>
      </c>
      <c r="AW160" s="74">
        <v>2.2999999999999998</v>
      </c>
      <c r="AX160" s="74">
        <v>2.2999999999999998</v>
      </c>
      <c r="AY160" s="74">
        <v>2.2999999999999998</v>
      </c>
      <c r="AZ160" s="74">
        <v>2.2999999999999998</v>
      </c>
      <c r="BA160" s="74">
        <v>2.2999999999999998</v>
      </c>
      <c r="BB160" s="74">
        <v>2.2999999999999998</v>
      </c>
      <c r="BC160" s="74">
        <v>2.2999999999999998</v>
      </c>
      <c r="BD160" s="74">
        <v>2.2999999999999998</v>
      </c>
      <c r="BE160" s="74">
        <v>2.2999999999999998</v>
      </c>
      <c r="BF160" s="74">
        <v>2.2999999999999998</v>
      </c>
      <c r="BG160" s="74">
        <v>2.2999999999999998</v>
      </c>
      <c r="BH160" s="74">
        <v>2.2999999999999998</v>
      </c>
      <c r="BI160" s="74">
        <v>2.2999999999999998</v>
      </c>
      <c r="BJ160" s="74">
        <v>2.2999999999999998</v>
      </c>
      <c r="BK160" s="74">
        <v>2.2999999999999998</v>
      </c>
      <c r="BL160" s="74">
        <v>2.2999999999999998</v>
      </c>
      <c r="BM160" s="74">
        <v>2.2999999999999998</v>
      </c>
      <c r="BN160" s="74">
        <v>2.2999999999999998</v>
      </c>
      <c r="BO160" s="74">
        <v>2.2999999999999998</v>
      </c>
      <c r="BP160" s="74">
        <v>2.2999999999999998</v>
      </c>
      <c r="BQ160" s="74">
        <v>2.2999999999999998</v>
      </c>
      <c r="BR160" s="74">
        <v>2.2999999999999998</v>
      </c>
      <c r="BS160" s="74">
        <v>2.2999999999999998</v>
      </c>
      <c r="BT160" s="74">
        <v>2.2999999999999998</v>
      </c>
      <c r="BU160" s="74">
        <v>2.2999999999999998</v>
      </c>
      <c r="BV160" s="74">
        <v>2.2999999999999998</v>
      </c>
      <c r="BW160" s="74">
        <v>2.2999999999999998</v>
      </c>
      <c r="BX160" s="74">
        <v>2.2999999999999998</v>
      </c>
      <c r="BY160" s="74">
        <v>2.2999999999999998</v>
      </c>
      <c r="BZ160" s="74">
        <v>2.2999999999999998</v>
      </c>
      <c r="CA160" s="74">
        <v>2.2999999999999998</v>
      </c>
      <c r="CB160" s="74">
        <v>2.2999999999999998</v>
      </c>
      <c r="CC160" s="74">
        <v>2.2999999999999998</v>
      </c>
      <c r="CD160" s="74">
        <v>2.2999999999999998</v>
      </c>
      <c r="CE160" s="74">
        <v>2.2999999999999998</v>
      </c>
      <c r="CF160" s="74">
        <v>2.2999999999999998</v>
      </c>
      <c r="CG160" s="74">
        <v>2.2999999999999998</v>
      </c>
      <c r="CH160" s="74">
        <v>2.2999999999999998</v>
      </c>
      <c r="CI160" s="74">
        <v>2.2999999999999998</v>
      </c>
      <c r="CJ160" s="74">
        <v>2.2999999999999998</v>
      </c>
      <c r="CK160" s="74">
        <v>2.2999999999999998</v>
      </c>
      <c r="CL160" s="74">
        <v>2.2999999999999998</v>
      </c>
      <c r="CM160" s="74">
        <v>2.2999999999999998</v>
      </c>
      <c r="CN160" s="74">
        <v>2.2999999999999998</v>
      </c>
      <c r="CO160" s="74">
        <v>2.2999999999999998</v>
      </c>
      <c r="CP160" s="74">
        <v>2.2999999999999998</v>
      </c>
      <c r="CQ160" s="28" t="s">
        <v>616</v>
      </c>
    </row>
    <row r="161" s="168" customFormat="1" ht="15" customHeight="1" x14ac:dyDescent="0.25"/>
    <row r="162" s="168" customFormat="1" hidden="1" x14ac:dyDescent="0.25"/>
    <row r="163" s="168" customFormat="1" hidden="1" x14ac:dyDescent="0.25"/>
    <row r="164" s="168" customFormat="1" hidden="1" x14ac:dyDescent="0.25"/>
    <row r="165" s="168" customFormat="1" hidden="1" x14ac:dyDescent="0.25"/>
    <row r="166" s="168" customFormat="1" hidden="1" x14ac:dyDescent="0.25"/>
    <row r="167" s="168" customFormat="1" hidden="1" x14ac:dyDescent="0.25"/>
    <row r="168" s="168" customFormat="1" hidden="1" x14ac:dyDescent="0.25"/>
    <row r="169" s="168" customFormat="1" hidden="1" x14ac:dyDescent="0.25"/>
    <row r="170" s="168" customFormat="1" hidden="1" x14ac:dyDescent="0.25"/>
    <row r="171" s="168" customFormat="1" hidden="1" x14ac:dyDescent="0.25"/>
    <row r="172" s="168" customFormat="1" hidden="1" x14ac:dyDescent="0.25"/>
    <row r="173" s="168" customFormat="1" hidden="1" x14ac:dyDescent="0.25"/>
    <row r="174" s="168" customFormat="1" hidden="1" x14ac:dyDescent="0.25"/>
    <row r="175" s="168" customFormat="1" hidden="1" x14ac:dyDescent="0.25"/>
    <row r="176" s="168" customFormat="1" hidden="1" x14ac:dyDescent="0.25"/>
    <row r="177" s="168" customFormat="1" hidden="1" x14ac:dyDescent="0.25"/>
  </sheetData>
  <mergeCells count="7">
    <mergeCell ref="B133:B134"/>
    <mergeCell ref="D6:H6"/>
    <mergeCell ref="B99:B100"/>
    <mergeCell ref="B107:B108"/>
    <mergeCell ref="B113:B114"/>
    <mergeCell ref="B120:B121"/>
    <mergeCell ref="B126:B127"/>
  </mergeCells>
  <dataValidations count="2">
    <dataValidation type="list" allowBlank="1" showInputMessage="1" showErrorMessage="1" sqref="D9">
      <formula1>"road,rail,aviation"</formula1>
    </dataValidation>
    <dataValidation type="list" allowBlank="1" showInputMessage="1" showErrorMessage="1" sqref="D14 D16">
      <formula1>"yes, no"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92"/>
  <sheetViews>
    <sheetView zoomScaleNormal="100" workbookViewId="0">
      <pane xSplit="3" ySplit="2" topLeftCell="D3" activePane="bottomRight" state="frozen"/>
      <selection pane="topRight" activeCell="D1" sqref="D1"/>
      <selection pane="bottomLeft" activeCell="A3" sqref="A3"/>
      <selection pane="bottomRight" activeCell="D140" sqref="D140"/>
    </sheetView>
  </sheetViews>
  <sheetFormatPr defaultColWidth="0" defaultRowHeight="12.75" zeroHeight="1" outlineLevelRow="2" x14ac:dyDescent="0.2"/>
  <cols>
    <col min="1" max="1" width="9.140625" customWidth="1"/>
    <col min="2" max="2" width="23" customWidth="1"/>
    <col min="3" max="3" width="15.85546875" customWidth="1"/>
    <col min="4" max="4" width="11.7109375" customWidth="1"/>
    <col min="5" max="94" width="9.140625" customWidth="1"/>
    <col min="95" max="95" width="45.5703125" bestFit="1" customWidth="1"/>
    <col min="96" max="16384" width="9.140625" hidden="1"/>
  </cols>
  <sheetData>
    <row r="1" spans="1:95" x14ac:dyDescent="0.2"/>
    <row r="2" spans="1:95" s="1" customFormat="1" ht="26.25" x14ac:dyDescent="0.4">
      <c r="B2" s="1" t="s">
        <v>97</v>
      </c>
    </row>
    <row r="3" spans="1:95" s="35" customFormat="1" x14ac:dyDescent="0.2"/>
    <row r="4" spans="1:95" s="2" customFormat="1" ht="18.75" x14ac:dyDescent="0.3">
      <c r="B4" s="2" t="s">
        <v>12</v>
      </c>
    </row>
    <row r="5" spans="1:95" s="35" customFormat="1" x14ac:dyDescent="0.2"/>
    <row r="6" spans="1:95" s="5" customFormat="1" ht="15.75" hidden="1" outlineLevel="1" x14ac:dyDescent="0.25">
      <c r="B6" s="5" t="s">
        <v>13</v>
      </c>
    </row>
    <row r="7" spans="1:95" s="36" customFormat="1" ht="15" hidden="1" customHeight="1" outlineLevel="1" x14ac:dyDescent="0.25">
      <c r="A7" s="126"/>
      <c r="B7" s="126"/>
      <c r="C7" s="126"/>
      <c r="D7" s="126"/>
      <c r="E7" s="126"/>
      <c r="F7" s="126"/>
      <c r="G7" s="126"/>
      <c r="H7" s="126"/>
      <c r="I7" s="126"/>
      <c r="J7" s="126"/>
      <c r="K7" s="126"/>
      <c r="L7" s="126"/>
      <c r="M7" s="126"/>
      <c r="N7" s="126"/>
      <c r="O7" s="126"/>
      <c r="P7" s="126"/>
      <c r="Q7" s="126"/>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row>
    <row r="8" spans="1:95" s="25" customFormat="1" ht="15" hidden="1" customHeight="1" outlineLevel="1" x14ac:dyDescent="0.25">
      <c r="A8" s="126"/>
      <c r="B8" s="128" t="s">
        <v>14</v>
      </c>
      <c r="C8" s="129" t="s">
        <v>15</v>
      </c>
      <c r="D8" s="130" t="s">
        <v>16</v>
      </c>
      <c r="E8" s="128" t="s">
        <v>17</v>
      </c>
      <c r="F8" s="128" t="s">
        <v>18</v>
      </c>
      <c r="G8" s="128" t="s">
        <v>19</v>
      </c>
      <c r="H8" s="128" t="s">
        <v>20</v>
      </c>
      <c r="I8" s="128" t="s">
        <v>21</v>
      </c>
      <c r="J8" s="128" t="s">
        <v>22</v>
      </c>
      <c r="K8" s="128" t="s">
        <v>23</v>
      </c>
      <c r="L8" s="128" t="s">
        <v>24</v>
      </c>
      <c r="M8" s="128" t="s">
        <v>25</v>
      </c>
      <c r="N8" s="128" t="s">
        <v>26</v>
      </c>
      <c r="O8" s="128" t="s">
        <v>27</v>
      </c>
      <c r="P8" s="128" t="s">
        <v>28</v>
      </c>
      <c r="Q8" s="128" t="s">
        <v>29</v>
      </c>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s="25" customFormat="1" ht="15" hidden="1" customHeight="1" outlineLevel="1" x14ac:dyDescent="0.25">
      <c r="A9" s="126"/>
      <c r="B9" s="129" t="s">
        <v>30</v>
      </c>
      <c r="C9" s="77"/>
      <c r="D9" s="110"/>
      <c r="E9" s="110"/>
      <c r="F9" s="110"/>
      <c r="G9" s="110"/>
      <c r="H9" s="110"/>
      <c r="I9" s="110"/>
      <c r="J9" s="110"/>
      <c r="K9" s="110"/>
      <c r="L9" s="110"/>
      <c r="M9" s="110"/>
      <c r="N9" s="110"/>
      <c r="O9" s="110"/>
      <c r="P9" s="110"/>
      <c r="Q9" s="111"/>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s="25" customFormat="1" ht="15" hidden="1" customHeight="1" outlineLevel="1" x14ac:dyDescent="0.25">
      <c r="A10" s="126"/>
      <c r="B10" s="130" t="s">
        <v>16</v>
      </c>
      <c r="C10" s="75"/>
      <c r="D10" s="112">
        <f>Input!D23</f>
        <v>14</v>
      </c>
      <c r="E10" s="112">
        <f>Input!E23</f>
        <v>125</v>
      </c>
      <c r="F10" s="112">
        <f>Input!F23</f>
        <v>61</v>
      </c>
      <c r="G10" s="112">
        <f>Input!G23</f>
        <v>0</v>
      </c>
      <c r="H10" s="112">
        <f>Input!H23</f>
        <v>0</v>
      </c>
      <c r="I10" s="112">
        <f>Input!I23</f>
        <v>1</v>
      </c>
      <c r="J10" s="112">
        <f>Input!J23</f>
        <v>0</v>
      </c>
      <c r="K10" s="112">
        <f>Input!K23</f>
        <v>0</v>
      </c>
      <c r="L10" s="112">
        <f>Input!L23</f>
        <v>0</v>
      </c>
      <c r="M10" s="112">
        <f>Input!M23</f>
        <v>0</v>
      </c>
      <c r="N10" s="112">
        <f>Input!N23</f>
        <v>0</v>
      </c>
      <c r="O10" s="112">
        <f>Input!O23</f>
        <v>0</v>
      </c>
      <c r="P10" s="112">
        <f>Input!P23</f>
        <v>0</v>
      </c>
      <c r="Q10" s="112">
        <f>Input!Q23</f>
        <v>0</v>
      </c>
      <c r="R10" s="26" t="s">
        <v>210</v>
      </c>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s="25" customFormat="1" ht="15" hidden="1" customHeight="1" outlineLevel="1" x14ac:dyDescent="0.25">
      <c r="A11" s="126"/>
      <c r="B11" s="128" t="s">
        <v>17</v>
      </c>
      <c r="C11" s="75"/>
      <c r="D11" s="112">
        <f>Input!D24</f>
        <v>0</v>
      </c>
      <c r="E11" s="112">
        <f>Input!E24</f>
        <v>181</v>
      </c>
      <c r="F11" s="112">
        <f>Input!F24</f>
        <v>910</v>
      </c>
      <c r="G11" s="112">
        <f>Input!G24</f>
        <v>40</v>
      </c>
      <c r="H11" s="112">
        <f>Input!H24</f>
        <v>58</v>
      </c>
      <c r="I11" s="112">
        <f>Input!I24</f>
        <v>33</v>
      </c>
      <c r="J11" s="112">
        <f>Input!J24</f>
        <v>4</v>
      </c>
      <c r="K11" s="112">
        <f>Input!K24</f>
        <v>0</v>
      </c>
      <c r="L11" s="112">
        <f>Input!L24</f>
        <v>0</v>
      </c>
      <c r="M11" s="112">
        <f>Input!M24</f>
        <v>0</v>
      </c>
      <c r="N11" s="112">
        <f>Input!N24</f>
        <v>0</v>
      </c>
      <c r="O11" s="112">
        <f>Input!O24</f>
        <v>0</v>
      </c>
      <c r="P11" s="112">
        <f>Input!P24</f>
        <v>0</v>
      </c>
      <c r="Q11" s="112">
        <f>Input!Q24</f>
        <v>0</v>
      </c>
      <c r="R11" s="26" t="s">
        <v>211</v>
      </c>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s="25" customFormat="1" ht="15" hidden="1" customHeight="1" outlineLevel="1" x14ac:dyDescent="0.25">
      <c r="A12" s="126"/>
      <c r="B12" s="128" t="s">
        <v>18</v>
      </c>
      <c r="C12" s="75"/>
      <c r="D12" s="112">
        <f>Input!D25</f>
        <v>0</v>
      </c>
      <c r="E12" s="112">
        <f>Input!E25</f>
        <v>0</v>
      </c>
      <c r="F12" s="112">
        <f>Input!F25</f>
        <v>357</v>
      </c>
      <c r="G12" s="112">
        <f>Input!G25</f>
        <v>1290</v>
      </c>
      <c r="H12" s="112">
        <f>Input!H25</f>
        <v>162</v>
      </c>
      <c r="I12" s="112">
        <f>Input!I25</f>
        <v>9</v>
      </c>
      <c r="J12" s="112">
        <f>Input!J25</f>
        <v>4</v>
      </c>
      <c r="K12" s="112">
        <f>Input!K25</f>
        <v>1</v>
      </c>
      <c r="L12" s="112">
        <f>Input!L25</f>
        <v>0</v>
      </c>
      <c r="M12" s="112">
        <f>Input!M25</f>
        <v>1</v>
      </c>
      <c r="N12" s="112">
        <f>Input!N25</f>
        <v>0</v>
      </c>
      <c r="O12" s="112">
        <f>Input!O25</f>
        <v>0</v>
      </c>
      <c r="P12" s="112">
        <f>Input!P25</f>
        <v>0</v>
      </c>
      <c r="Q12" s="112">
        <f>Input!Q25</f>
        <v>0</v>
      </c>
      <c r="R12" s="26" t="s">
        <v>212</v>
      </c>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s="25" customFormat="1" ht="15" hidden="1" customHeight="1" outlineLevel="1" x14ac:dyDescent="0.25">
      <c r="A13" s="126"/>
      <c r="B13" s="128" t="s">
        <v>19</v>
      </c>
      <c r="C13" s="75"/>
      <c r="D13" s="112">
        <f>Input!D26</f>
        <v>0</v>
      </c>
      <c r="E13" s="112">
        <f>Input!E26</f>
        <v>0</v>
      </c>
      <c r="F13" s="112">
        <f>Input!F26</f>
        <v>2</v>
      </c>
      <c r="G13" s="112">
        <f>Input!G26</f>
        <v>720</v>
      </c>
      <c r="H13" s="112">
        <f>Input!H26</f>
        <v>923</v>
      </c>
      <c r="I13" s="112">
        <f>Input!I26</f>
        <v>78</v>
      </c>
      <c r="J13" s="112">
        <f>Input!J26</f>
        <v>26</v>
      </c>
      <c r="K13" s="112">
        <f>Input!K26</f>
        <v>15</v>
      </c>
      <c r="L13" s="112">
        <f>Input!L26</f>
        <v>9</v>
      </c>
      <c r="M13" s="112">
        <f>Input!M26</f>
        <v>3</v>
      </c>
      <c r="N13" s="112">
        <f>Input!N26</f>
        <v>2</v>
      </c>
      <c r="O13" s="112">
        <f>Input!O26</f>
        <v>4</v>
      </c>
      <c r="P13" s="112">
        <f>Input!P26</f>
        <v>0</v>
      </c>
      <c r="Q13" s="112">
        <f>Input!Q26</f>
        <v>0</v>
      </c>
      <c r="R13" s="26" t="s">
        <v>213</v>
      </c>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s="25" customFormat="1" ht="15" hidden="1" customHeight="1" outlineLevel="1" x14ac:dyDescent="0.25">
      <c r="A14" s="126"/>
      <c r="B14" s="128" t="s">
        <v>20</v>
      </c>
      <c r="C14" s="75"/>
      <c r="D14" s="112">
        <f>Input!D27</f>
        <v>0</v>
      </c>
      <c r="E14" s="112">
        <f>Input!E27</f>
        <v>0</v>
      </c>
      <c r="F14" s="112">
        <f>Input!F27</f>
        <v>0</v>
      </c>
      <c r="G14" s="112">
        <f>Input!G27</f>
        <v>4</v>
      </c>
      <c r="H14" s="112">
        <f>Input!H27</f>
        <v>526</v>
      </c>
      <c r="I14" s="112">
        <f>Input!I27</f>
        <v>281</v>
      </c>
      <c r="J14" s="112">
        <f>Input!J27</f>
        <v>14</v>
      </c>
      <c r="K14" s="112">
        <f>Input!K27</f>
        <v>1</v>
      </c>
      <c r="L14" s="112">
        <f>Input!L27</f>
        <v>4</v>
      </c>
      <c r="M14" s="112">
        <f>Input!M27</f>
        <v>0</v>
      </c>
      <c r="N14" s="112">
        <f>Input!N27</f>
        <v>0</v>
      </c>
      <c r="O14" s="112">
        <f>Input!O27</f>
        <v>0</v>
      </c>
      <c r="P14" s="112">
        <f>Input!P27</f>
        <v>0</v>
      </c>
      <c r="Q14" s="112">
        <f>Input!Q27</f>
        <v>0</v>
      </c>
      <c r="R14" s="26" t="s">
        <v>214</v>
      </c>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s="25" customFormat="1" ht="15" hidden="1" customHeight="1" outlineLevel="1" x14ac:dyDescent="0.25">
      <c r="A15" s="126"/>
      <c r="B15" s="128" t="s">
        <v>21</v>
      </c>
      <c r="C15" s="75"/>
      <c r="D15" s="112">
        <f>Input!D28</f>
        <v>0</v>
      </c>
      <c r="E15" s="112">
        <f>Input!E28</f>
        <v>0</v>
      </c>
      <c r="F15" s="112">
        <f>Input!F28</f>
        <v>0</v>
      </c>
      <c r="G15" s="112">
        <f>Input!G28</f>
        <v>0</v>
      </c>
      <c r="H15" s="112">
        <f>Input!H28</f>
        <v>17</v>
      </c>
      <c r="I15" s="112">
        <f>Input!I28</f>
        <v>455</v>
      </c>
      <c r="J15" s="112">
        <f>Input!J28</f>
        <v>158</v>
      </c>
      <c r="K15" s="112">
        <f>Input!K28</f>
        <v>11</v>
      </c>
      <c r="L15" s="112">
        <f>Input!L28</f>
        <v>1</v>
      </c>
      <c r="M15" s="112">
        <f>Input!M28</f>
        <v>2</v>
      </c>
      <c r="N15" s="112">
        <f>Input!N28</f>
        <v>0</v>
      </c>
      <c r="O15" s="112">
        <f>Input!O28</f>
        <v>0</v>
      </c>
      <c r="P15" s="112">
        <f>Input!P28</f>
        <v>0</v>
      </c>
      <c r="Q15" s="112">
        <f>Input!Q28</f>
        <v>0</v>
      </c>
      <c r="R15" s="26" t="s">
        <v>215</v>
      </c>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s="25" customFormat="1" ht="15" hidden="1" customHeight="1" outlineLevel="1" x14ac:dyDescent="0.25">
      <c r="A16" s="126"/>
      <c r="B16" s="128" t="s">
        <v>22</v>
      </c>
      <c r="C16" s="75"/>
      <c r="D16" s="112">
        <f>Input!D29</f>
        <v>0</v>
      </c>
      <c r="E16" s="112">
        <f>Input!E29</f>
        <v>0</v>
      </c>
      <c r="F16" s="112">
        <f>Input!F29</f>
        <v>0</v>
      </c>
      <c r="G16" s="112">
        <f>Input!G29</f>
        <v>0</v>
      </c>
      <c r="H16" s="112">
        <f>Input!H29</f>
        <v>0</v>
      </c>
      <c r="I16" s="112">
        <f>Input!I29</f>
        <v>42</v>
      </c>
      <c r="J16" s="112">
        <f>Input!J29</f>
        <v>177</v>
      </c>
      <c r="K16" s="112">
        <f>Input!K29</f>
        <v>169</v>
      </c>
      <c r="L16" s="112">
        <f>Input!L29</f>
        <v>38</v>
      </c>
      <c r="M16" s="112">
        <f>Input!M29</f>
        <v>1</v>
      </c>
      <c r="N16" s="112">
        <f>Input!N29</f>
        <v>0</v>
      </c>
      <c r="O16" s="112">
        <f>Input!O29</f>
        <v>0</v>
      </c>
      <c r="P16" s="112">
        <f>Input!P29</f>
        <v>0</v>
      </c>
      <c r="Q16" s="112">
        <f>Input!Q29</f>
        <v>0</v>
      </c>
      <c r="R16" s="26" t="s">
        <v>216</v>
      </c>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6" s="25" customFormat="1" ht="15" hidden="1" customHeight="1" outlineLevel="1" x14ac:dyDescent="0.25">
      <c r="A17" s="126"/>
      <c r="B17" s="128" t="s">
        <v>23</v>
      </c>
      <c r="C17" s="75"/>
      <c r="D17" s="112">
        <f>Input!D30</f>
        <v>0</v>
      </c>
      <c r="E17" s="112">
        <f>Input!E30</f>
        <v>0</v>
      </c>
      <c r="F17" s="112">
        <f>Input!F30</f>
        <v>0</v>
      </c>
      <c r="G17" s="112">
        <f>Input!G30</f>
        <v>0</v>
      </c>
      <c r="H17" s="112">
        <f>Input!H30</f>
        <v>0</v>
      </c>
      <c r="I17" s="112">
        <f>Input!I30</f>
        <v>51</v>
      </c>
      <c r="J17" s="112">
        <f>Input!J30</f>
        <v>10</v>
      </c>
      <c r="K17" s="112">
        <f>Input!K30</f>
        <v>359</v>
      </c>
      <c r="L17" s="112">
        <f>Input!L30</f>
        <v>135</v>
      </c>
      <c r="M17" s="112">
        <f>Input!M30</f>
        <v>4</v>
      </c>
      <c r="N17" s="112">
        <f>Input!N30</f>
        <v>0</v>
      </c>
      <c r="O17" s="112">
        <f>Input!O30</f>
        <v>0</v>
      </c>
      <c r="P17" s="112">
        <f>Input!P30</f>
        <v>0</v>
      </c>
      <c r="Q17" s="112">
        <f>Input!Q30</f>
        <v>0</v>
      </c>
      <c r="R17" s="26" t="s">
        <v>217</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6" s="8" customFormat="1" ht="15" hidden="1" customHeight="1" outlineLevel="1" x14ac:dyDescent="0.25">
      <c r="A18" s="126"/>
      <c r="B18" s="128" t="s">
        <v>24</v>
      </c>
      <c r="C18" s="75"/>
      <c r="D18" s="112">
        <f>Input!D31</f>
        <v>0</v>
      </c>
      <c r="E18" s="112">
        <f>Input!E31</f>
        <v>0</v>
      </c>
      <c r="F18" s="112">
        <f>Input!F31</f>
        <v>0</v>
      </c>
      <c r="G18" s="112">
        <f>Input!G31</f>
        <v>0</v>
      </c>
      <c r="H18" s="112">
        <f>Input!H31</f>
        <v>0</v>
      </c>
      <c r="I18" s="112">
        <f>Input!I31</f>
        <v>0</v>
      </c>
      <c r="J18" s="112">
        <f>Input!J31</f>
        <v>0</v>
      </c>
      <c r="K18" s="112">
        <f>Input!K31</f>
        <v>44</v>
      </c>
      <c r="L18" s="112">
        <f>Input!L31</f>
        <v>277</v>
      </c>
      <c r="M18" s="112">
        <f>Input!M31</f>
        <v>27</v>
      </c>
      <c r="N18" s="112">
        <f>Input!N31</f>
        <v>2</v>
      </c>
      <c r="O18" s="112">
        <f>Input!O31</f>
        <v>0</v>
      </c>
      <c r="P18" s="112">
        <f>Input!P31</f>
        <v>0</v>
      </c>
      <c r="Q18" s="112">
        <f>Input!Q31</f>
        <v>0</v>
      </c>
      <c r="R18" s="26" t="s">
        <v>218</v>
      </c>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row>
    <row r="19" spans="1:96" s="8" customFormat="1" ht="15" hidden="1" customHeight="1" outlineLevel="1" x14ac:dyDescent="0.25">
      <c r="A19" s="126"/>
      <c r="B19" s="128" t="s">
        <v>25</v>
      </c>
      <c r="C19" s="75"/>
      <c r="D19" s="112">
        <f>Input!D32</f>
        <v>0</v>
      </c>
      <c r="E19" s="112">
        <f>Input!E32</f>
        <v>0</v>
      </c>
      <c r="F19" s="112">
        <f>Input!F32</f>
        <v>0</v>
      </c>
      <c r="G19" s="112">
        <f>Input!G32</f>
        <v>0</v>
      </c>
      <c r="H19" s="112">
        <f>Input!H32</f>
        <v>0</v>
      </c>
      <c r="I19" s="112">
        <f>Input!I32</f>
        <v>0</v>
      </c>
      <c r="J19" s="112">
        <f>Input!J32</f>
        <v>0</v>
      </c>
      <c r="K19" s="112">
        <f>Input!K32</f>
        <v>0</v>
      </c>
      <c r="L19" s="112">
        <f>Input!L32</f>
        <v>29</v>
      </c>
      <c r="M19" s="112">
        <f>Input!M32</f>
        <v>172</v>
      </c>
      <c r="N19" s="112">
        <f>Input!N32</f>
        <v>34</v>
      </c>
      <c r="O19" s="112">
        <f>Input!O32</f>
        <v>0</v>
      </c>
      <c r="P19" s="112">
        <f>Input!P32</f>
        <v>0</v>
      </c>
      <c r="Q19" s="112">
        <f>Input!Q32</f>
        <v>0</v>
      </c>
      <c r="R19" s="26" t="s">
        <v>219</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row>
    <row r="20" spans="1:96" s="8" customFormat="1" ht="15" hidden="1" customHeight="1" outlineLevel="1" x14ac:dyDescent="0.25">
      <c r="A20" s="126"/>
      <c r="B20" s="128" t="s">
        <v>26</v>
      </c>
      <c r="C20" s="75"/>
      <c r="D20" s="112">
        <f>Input!D33</f>
        <v>0</v>
      </c>
      <c r="E20" s="112">
        <f>Input!E33</f>
        <v>0</v>
      </c>
      <c r="F20" s="112">
        <f>Input!F33</f>
        <v>0</v>
      </c>
      <c r="G20" s="112">
        <f>Input!G33</f>
        <v>0</v>
      </c>
      <c r="H20" s="112">
        <f>Input!H33</f>
        <v>0</v>
      </c>
      <c r="I20" s="112">
        <f>Input!I33</f>
        <v>0</v>
      </c>
      <c r="J20" s="112">
        <f>Input!J33</f>
        <v>0</v>
      </c>
      <c r="K20" s="112">
        <f>Input!K33</f>
        <v>0</v>
      </c>
      <c r="L20" s="112">
        <f>Input!L33</f>
        <v>0</v>
      </c>
      <c r="M20" s="112">
        <f>Input!M33</f>
        <v>38</v>
      </c>
      <c r="N20" s="112">
        <f>Input!N33</f>
        <v>28</v>
      </c>
      <c r="O20" s="112">
        <f>Input!O33</f>
        <v>7</v>
      </c>
      <c r="P20" s="112">
        <f>Input!P33</f>
        <v>1</v>
      </c>
      <c r="Q20" s="112">
        <f>Input!Q33</f>
        <v>0</v>
      </c>
      <c r="R20" s="26" t="s">
        <v>220</v>
      </c>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row>
    <row r="21" spans="1:96" s="8" customFormat="1" ht="15" hidden="1" customHeight="1" outlineLevel="1" x14ac:dyDescent="0.25">
      <c r="A21" s="126"/>
      <c r="B21" s="128" t="s">
        <v>27</v>
      </c>
      <c r="C21" s="75"/>
      <c r="D21" s="112">
        <f>Input!D34</f>
        <v>0</v>
      </c>
      <c r="E21" s="112">
        <f>Input!E34</f>
        <v>0</v>
      </c>
      <c r="F21" s="112">
        <f>Input!F34</f>
        <v>0</v>
      </c>
      <c r="G21" s="112">
        <f>Input!G34</f>
        <v>0</v>
      </c>
      <c r="H21" s="112">
        <f>Input!H34</f>
        <v>0</v>
      </c>
      <c r="I21" s="112">
        <f>Input!I34</f>
        <v>0</v>
      </c>
      <c r="J21" s="112">
        <f>Input!J34</f>
        <v>0</v>
      </c>
      <c r="K21" s="112">
        <f>Input!K34</f>
        <v>0</v>
      </c>
      <c r="L21" s="112">
        <f>Input!L34</f>
        <v>0</v>
      </c>
      <c r="M21" s="112">
        <f>Input!M34</f>
        <v>0</v>
      </c>
      <c r="N21" s="112">
        <f>Input!N34</f>
        <v>4</v>
      </c>
      <c r="O21" s="112">
        <f>Input!O34</f>
        <v>2</v>
      </c>
      <c r="P21" s="112">
        <f>Input!P34</f>
        <v>0</v>
      </c>
      <c r="Q21" s="112">
        <f>Input!Q34</f>
        <v>0</v>
      </c>
      <c r="R21" s="26" t="s">
        <v>221</v>
      </c>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28"/>
    </row>
    <row r="22" spans="1:96" s="8" customFormat="1" ht="15" hidden="1" customHeight="1" outlineLevel="1" x14ac:dyDescent="0.25">
      <c r="A22" s="126"/>
      <c r="B22" s="128" t="s">
        <v>28</v>
      </c>
      <c r="C22" s="75"/>
      <c r="D22" s="112">
        <f>Input!D35</f>
        <v>0</v>
      </c>
      <c r="E22" s="112">
        <f>Input!E35</f>
        <v>0</v>
      </c>
      <c r="F22" s="112">
        <f>Input!F35</f>
        <v>0</v>
      </c>
      <c r="G22" s="112">
        <f>Input!G35</f>
        <v>0</v>
      </c>
      <c r="H22" s="112">
        <f>Input!H35</f>
        <v>0</v>
      </c>
      <c r="I22" s="112">
        <f>Input!I35</f>
        <v>0</v>
      </c>
      <c r="J22" s="112">
        <f>Input!J35</f>
        <v>0</v>
      </c>
      <c r="K22" s="112">
        <f>Input!K35</f>
        <v>0</v>
      </c>
      <c r="L22" s="112">
        <f>Input!L35</f>
        <v>0</v>
      </c>
      <c r="M22" s="112">
        <f>Input!M35</f>
        <v>0</v>
      </c>
      <c r="N22" s="112">
        <f>Input!N35</f>
        <v>0</v>
      </c>
      <c r="O22" s="112">
        <f>Input!O35</f>
        <v>0</v>
      </c>
      <c r="P22" s="112">
        <f>Input!P35</f>
        <v>0</v>
      </c>
      <c r="Q22" s="112">
        <f>Input!Q35</f>
        <v>0</v>
      </c>
      <c r="R22" s="26" t="s">
        <v>222</v>
      </c>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28"/>
    </row>
    <row r="23" spans="1:96" s="8" customFormat="1" ht="15" hidden="1" customHeight="1" outlineLevel="1" x14ac:dyDescent="0.25">
      <c r="A23" s="126"/>
      <c r="B23" s="128" t="s">
        <v>29</v>
      </c>
      <c r="C23" s="75"/>
      <c r="D23" s="112">
        <f>Input!D36</f>
        <v>0</v>
      </c>
      <c r="E23" s="112">
        <f>Input!E36</f>
        <v>0</v>
      </c>
      <c r="F23" s="112">
        <f>Input!F36</f>
        <v>0</v>
      </c>
      <c r="G23" s="112">
        <f>Input!G36</f>
        <v>0</v>
      </c>
      <c r="H23" s="112">
        <f>Input!H36</f>
        <v>0</v>
      </c>
      <c r="I23" s="112">
        <f>Input!I36</f>
        <v>0</v>
      </c>
      <c r="J23" s="112">
        <f>Input!J36</f>
        <v>0</v>
      </c>
      <c r="K23" s="112">
        <f>Input!K36</f>
        <v>0</v>
      </c>
      <c r="L23" s="112">
        <f>Input!L36</f>
        <v>0</v>
      </c>
      <c r="M23" s="112">
        <f>Input!M36</f>
        <v>0</v>
      </c>
      <c r="N23" s="112">
        <f>Input!N36</f>
        <v>0</v>
      </c>
      <c r="O23" s="112">
        <f>Input!O36</f>
        <v>0</v>
      </c>
      <c r="P23" s="112">
        <f>Input!P36</f>
        <v>0</v>
      </c>
      <c r="Q23" s="112">
        <f>Input!Q36</f>
        <v>0</v>
      </c>
      <c r="R23" s="26" t="s">
        <v>223</v>
      </c>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28"/>
    </row>
    <row r="24" spans="1:96" s="8" customFormat="1" ht="15" hidden="1" customHeight="1" outlineLevel="1" x14ac:dyDescent="0.25">
      <c r="A24" s="126"/>
      <c r="B24" s="131"/>
      <c r="C24" s="132"/>
      <c r="D24" s="132"/>
      <c r="E24" s="131"/>
      <c r="F24" s="131"/>
      <c r="G24" s="131"/>
      <c r="H24" s="131"/>
      <c r="I24" s="131"/>
      <c r="J24" s="131"/>
      <c r="K24" s="131"/>
      <c r="L24" s="131"/>
      <c r="M24" s="131"/>
      <c r="N24" s="131"/>
      <c r="O24" s="131"/>
      <c r="P24" s="131"/>
      <c r="Q24" s="131"/>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28"/>
    </row>
    <row r="25" spans="1:96" ht="15" hidden="1" customHeight="1" outlineLevel="1" x14ac:dyDescent="0.25">
      <c r="A25" s="126"/>
      <c r="B25" s="128" t="s">
        <v>45</v>
      </c>
      <c r="C25" s="129" t="s">
        <v>15</v>
      </c>
      <c r="D25" s="130" t="s">
        <v>16</v>
      </c>
      <c r="E25" s="128" t="s">
        <v>17</v>
      </c>
      <c r="F25" s="128" t="s">
        <v>18</v>
      </c>
      <c r="G25" s="128" t="s">
        <v>19</v>
      </c>
      <c r="H25" s="128" t="s">
        <v>20</v>
      </c>
      <c r="I25" s="128" t="s">
        <v>21</v>
      </c>
      <c r="J25" s="128" t="s">
        <v>22</v>
      </c>
      <c r="K25" s="128" t="s">
        <v>23</v>
      </c>
      <c r="L25" s="128" t="s">
        <v>24</v>
      </c>
      <c r="M25" s="128" t="s">
        <v>25</v>
      </c>
      <c r="N25" s="128" t="s">
        <v>26</v>
      </c>
      <c r="O25" s="128" t="s">
        <v>27</v>
      </c>
      <c r="P25" s="128" t="s">
        <v>28</v>
      </c>
      <c r="Q25" s="128" t="s">
        <v>29</v>
      </c>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3"/>
    </row>
    <row r="26" spans="1:96" ht="15" hidden="1" customHeight="1" outlineLevel="1" x14ac:dyDescent="0.25">
      <c r="A26" s="131"/>
      <c r="B26" s="129" t="s">
        <v>30</v>
      </c>
      <c r="C26" s="77"/>
      <c r="D26" s="110"/>
      <c r="E26" s="110"/>
      <c r="F26" s="110"/>
      <c r="G26" s="110"/>
      <c r="H26" s="110"/>
      <c r="I26" s="110"/>
      <c r="J26" s="110"/>
      <c r="K26" s="110"/>
      <c r="L26" s="110"/>
      <c r="M26" s="110"/>
      <c r="N26" s="110"/>
      <c r="O26" s="110"/>
      <c r="P26" s="110"/>
      <c r="Q26" s="11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3"/>
    </row>
    <row r="27" spans="1:96" ht="15" hidden="1" customHeight="1" outlineLevel="1" x14ac:dyDescent="0.25">
      <c r="A27" s="131"/>
      <c r="B27" s="130" t="s">
        <v>16</v>
      </c>
      <c r="C27" s="75"/>
      <c r="D27" s="112">
        <f>Input!D40</f>
        <v>2346</v>
      </c>
      <c r="E27" s="112">
        <f>Input!E40</f>
        <v>1267</v>
      </c>
      <c r="F27" s="112">
        <f>Input!F40</f>
        <v>178</v>
      </c>
      <c r="G27" s="112">
        <f>Input!G40</f>
        <v>42</v>
      </c>
      <c r="H27" s="112">
        <f>Input!H40</f>
        <v>13</v>
      </c>
      <c r="I27" s="112">
        <f>Input!I40</f>
        <v>3</v>
      </c>
      <c r="J27" s="112">
        <f>Input!J40</f>
        <v>4</v>
      </c>
      <c r="K27" s="112">
        <f>Input!K40</f>
        <v>4</v>
      </c>
      <c r="L27" s="112">
        <f>Input!L40</f>
        <v>2</v>
      </c>
      <c r="M27" s="112">
        <f>Input!M40</f>
        <v>0</v>
      </c>
      <c r="N27" s="112">
        <f>Input!N40</f>
        <v>0</v>
      </c>
      <c r="O27" s="112">
        <f>Input!O40</f>
        <v>0</v>
      </c>
      <c r="P27" s="112">
        <f>Input!P40</f>
        <v>0</v>
      </c>
      <c r="Q27" s="112">
        <f>Input!Q40</f>
        <v>0</v>
      </c>
      <c r="R27" s="6" t="s">
        <v>525</v>
      </c>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3"/>
    </row>
    <row r="28" spans="1:96" ht="15" hidden="1" customHeight="1" outlineLevel="1" x14ac:dyDescent="0.25">
      <c r="A28" s="131"/>
      <c r="B28" s="128" t="s">
        <v>17</v>
      </c>
      <c r="C28" s="75"/>
      <c r="D28" s="112">
        <f>Input!D41</f>
        <v>58</v>
      </c>
      <c r="E28" s="112">
        <f>Input!E41</f>
        <v>857</v>
      </c>
      <c r="F28" s="112">
        <f>Input!F41</f>
        <v>511</v>
      </c>
      <c r="G28" s="112">
        <f>Input!G41</f>
        <v>38</v>
      </c>
      <c r="H28" s="112">
        <f>Input!H41</f>
        <v>20</v>
      </c>
      <c r="I28" s="112">
        <f>Input!I41</f>
        <v>10</v>
      </c>
      <c r="J28" s="112">
        <f>Input!J41</f>
        <v>5</v>
      </c>
      <c r="K28" s="112">
        <f>Input!K41</f>
        <v>1</v>
      </c>
      <c r="L28" s="112">
        <f>Input!L41</f>
        <v>0</v>
      </c>
      <c r="M28" s="112">
        <f>Input!M41</f>
        <v>2</v>
      </c>
      <c r="N28" s="112">
        <f>Input!N41</f>
        <v>0</v>
      </c>
      <c r="O28" s="112">
        <f>Input!O41</f>
        <v>0</v>
      </c>
      <c r="P28" s="112">
        <f>Input!P41</f>
        <v>0</v>
      </c>
      <c r="Q28" s="112">
        <f>Input!Q41</f>
        <v>0</v>
      </c>
      <c r="R28" s="6" t="s">
        <v>526</v>
      </c>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3"/>
    </row>
    <row r="29" spans="1:96" ht="15" hidden="1" customHeight="1" outlineLevel="1" x14ac:dyDescent="0.25">
      <c r="A29" s="131"/>
      <c r="B29" s="128" t="s">
        <v>18</v>
      </c>
      <c r="C29" s="75"/>
      <c r="D29" s="112">
        <f>Input!D42</f>
        <v>13</v>
      </c>
      <c r="E29" s="112">
        <f>Input!E42</f>
        <v>21</v>
      </c>
      <c r="F29" s="112">
        <f>Input!F42</f>
        <v>478</v>
      </c>
      <c r="G29" s="112">
        <f>Input!G42</f>
        <v>168</v>
      </c>
      <c r="H29" s="112">
        <f>Input!H42</f>
        <v>4</v>
      </c>
      <c r="I29" s="112">
        <f>Input!I42</f>
        <v>5</v>
      </c>
      <c r="J29" s="112">
        <f>Input!J42</f>
        <v>88</v>
      </c>
      <c r="K29" s="112">
        <f>Input!K42</f>
        <v>0</v>
      </c>
      <c r="L29" s="112">
        <f>Input!L42</f>
        <v>0</v>
      </c>
      <c r="M29" s="112">
        <f>Input!M42</f>
        <v>0</v>
      </c>
      <c r="N29" s="112">
        <f>Input!N42</f>
        <v>0</v>
      </c>
      <c r="O29" s="112">
        <f>Input!O42</f>
        <v>0</v>
      </c>
      <c r="P29" s="112">
        <f>Input!P42</f>
        <v>0</v>
      </c>
      <c r="Q29" s="112">
        <f>Input!Q42</f>
        <v>0</v>
      </c>
      <c r="R29" s="6" t="s">
        <v>527</v>
      </c>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3"/>
    </row>
    <row r="30" spans="1:96" ht="15" hidden="1" customHeight="1" outlineLevel="1" x14ac:dyDescent="0.25">
      <c r="A30" s="131"/>
      <c r="B30" s="128" t="s">
        <v>19</v>
      </c>
      <c r="C30" s="75"/>
      <c r="D30" s="112">
        <f>Input!D43</f>
        <v>40</v>
      </c>
      <c r="E30" s="112">
        <f>Input!E43</f>
        <v>17</v>
      </c>
      <c r="F30" s="112">
        <f>Input!F43</f>
        <v>76</v>
      </c>
      <c r="G30" s="112">
        <f>Input!G43</f>
        <v>378</v>
      </c>
      <c r="H30" s="112">
        <f>Input!H43</f>
        <v>52</v>
      </c>
      <c r="I30" s="112">
        <f>Input!I43</f>
        <v>3</v>
      </c>
      <c r="J30" s="112">
        <f>Input!J43</f>
        <v>14</v>
      </c>
      <c r="K30" s="112">
        <f>Input!K43</f>
        <v>2</v>
      </c>
      <c r="L30" s="112">
        <f>Input!L43</f>
        <v>0</v>
      </c>
      <c r="M30" s="112">
        <f>Input!M43</f>
        <v>0</v>
      </c>
      <c r="N30" s="112">
        <f>Input!N43</f>
        <v>0</v>
      </c>
      <c r="O30" s="112">
        <f>Input!O43</f>
        <v>0</v>
      </c>
      <c r="P30" s="112">
        <f>Input!P43</f>
        <v>0</v>
      </c>
      <c r="Q30" s="112">
        <f>Input!Q43</f>
        <v>0</v>
      </c>
      <c r="R30" s="6" t="s">
        <v>528</v>
      </c>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3"/>
    </row>
    <row r="31" spans="1:96" ht="15" hidden="1" customHeight="1" outlineLevel="1" x14ac:dyDescent="0.25">
      <c r="A31" s="131"/>
      <c r="B31" s="128" t="s">
        <v>20</v>
      </c>
      <c r="C31" s="75"/>
      <c r="D31" s="112">
        <f>Input!D44</f>
        <v>0</v>
      </c>
      <c r="E31" s="112">
        <f>Input!E44</f>
        <v>11</v>
      </c>
      <c r="F31" s="112">
        <f>Input!F44</f>
        <v>17</v>
      </c>
      <c r="G31" s="112">
        <f>Input!G44</f>
        <v>119</v>
      </c>
      <c r="H31" s="112">
        <f>Input!H44</f>
        <v>223</v>
      </c>
      <c r="I31" s="112">
        <f>Input!I44</f>
        <v>124</v>
      </c>
      <c r="J31" s="112">
        <f>Input!J44</f>
        <v>15</v>
      </c>
      <c r="K31" s="112">
        <f>Input!K44</f>
        <v>0</v>
      </c>
      <c r="L31" s="112">
        <f>Input!L44</f>
        <v>0</v>
      </c>
      <c r="M31" s="112">
        <f>Input!M44</f>
        <v>0</v>
      </c>
      <c r="N31" s="112">
        <f>Input!N44</f>
        <v>0</v>
      </c>
      <c r="O31" s="112">
        <f>Input!O44</f>
        <v>0</v>
      </c>
      <c r="P31" s="112">
        <f>Input!P44</f>
        <v>0</v>
      </c>
      <c r="Q31" s="112">
        <f>Input!Q44</f>
        <v>0</v>
      </c>
      <c r="R31" s="6" t="s">
        <v>529</v>
      </c>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3"/>
    </row>
    <row r="32" spans="1:96" ht="15" hidden="1" customHeight="1" outlineLevel="1" x14ac:dyDescent="0.25">
      <c r="A32" s="131"/>
      <c r="B32" s="128" t="s">
        <v>21</v>
      </c>
      <c r="C32" s="75"/>
      <c r="D32" s="112">
        <f>Input!D45</f>
        <v>0</v>
      </c>
      <c r="E32" s="112">
        <f>Input!E45</f>
        <v>0</v>
      </c>
      <c r="F32" s="112">
        <f>Input!F45</f>
        <v>9</v>
      </c>
      <c r="G32" s="112">
        <f>Input!G45</f>
        <v>19</v>
      </c>
      <c r="H32" s="112">
        <f>Input!H45</f>
        <v>49</v>
      </c>
      <c r="I32" s="112">
        <f>Input!I45</f>
        <v>181</v>
      </c>
      <c r="J32" s="112">
        <f>Input!J45</f>
        <v>62</v>
      </c>
      <c r="K32" s="112">
        <f>Input!K45</f>
        <v>1</v>
      </c>
      <c r="L32" s="112">
        <f>Input!L45</f>
        <v>1</v>
      </c>
      <c r="M32" s="112">
        <f>Input!M45</f>
        <v>0</v>
      </c>
      <c r="N32" s="112">
        <f>Input!N45</f>
        <v>0</v>
      </c>
      <c r="O32" s="112">
        <f>Input!O45</f>
        <v>0</v>
      </c>
      <c r="P32" s="112">
        <f>Input!P45</f>
        <v>0</v>
      </c>
      <c r="Q32" s="112">
        <f>Input!Q45</f>
        <v>0</v>
      </c>
      <c r="R32" s="6" t="s">
        <v>530</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3"/>
    </row>
    <row r="33" spans="1:96" ht="15" hidden="1" customHeight="1" outlineLevel="1" x14ac:dyDescent="0.25">
      <c r="A33" s="131"/>
      <c r="B33" s="128" t="s">
        <v>22</v>
      </c>
      <c r="C33" s="75"/>
      <c r="D33" s="112">
        <f>Input!D46</f>
        <v>0</v>
      </c>
      <c r="E33" s="112">
        <f>Input!E46</f>
        <v>0</v>
      </c>
      <c r="F33" s="112">
        <f>Input!F46</f>
        <v>0</v>
      </c>
      <c r="G33" s="112">
        <f>Input!G46</f>
        <v>0</v>
      </c>
      <c r="H33" s="112">
        <f>Input!H46</f>
        <v>1</v>
      </c>
      <c r="I33" s="112">
        <f>Input!I46</f>
        <v>34</v>
      </c>
      <c r="J33" s="112">
        <f>Input!J46</f>
        <v>298</v>
      </c>
      <c r="K33" s="112">
        <f>Input!K46</f>
        <v>49</v>
      </c>
      <c r="L33" s="112">
        <f>Input!L46</f>
        <v>0</v>
      </c>
      <c r="M33" s="112">
        <f>Input!M46</f>
        <v>0</v>
      </c>
      <c r="N33" s="112">
        <f>Input!N46</f>
        <v>0</v>
      </c>
      <c r="O33" s="112">
        <f>Input!O46</f>
        <v>0</v>
      </c>
      <c r="P33" s="112">
        <f>Input!P46</f>
        <v>0</v>
      </c>
      <c r="Q33" s="112">
        <f>Input!Q46</f>
        <v>0</v>
      </c>
      <c r="R33" s="6" t="s">
        <v>531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3"/>
    </row>
    <row r="34" spans="1:96" ht="15" hidden="1" customHeight="1" outlineLevel="1" x14ac:dyDescent="0.25">
      <c r="A34" s="131"/>
      <c r="B34" s="128" t="s">
        <v>23</v>
      </c>
      <c r="C34" s="75"/>
      <c r="D34" s="112">
        <f>Input!D47</f>
        <v>0</v>
      </c>
      <c r="E34" s="112">
        <f>Input!E47</f>
        <v>0</v>
      </c>
      <c r="F34" s="112">
        <f>Input!F47</f>
        <v>0</v>
      </c>
      <c r="G34" s="112">
        <f>Input!G47</f>
        <v>0</v>
      </c>
      <c r="H34" s="112">
        <f>Input!H47</f>
        <v>0</v>
      </c>
      <c r="I34" s="112">
        <f>Input!I47</f>
        <v>0</v>
      </c>
      <c r="J34" s="112">
        <f>Input!J47</f>
        <v>5</v>
      </c>
      <c r="K34" s="112">
        <f>Input!K47</f>
        <v>137</v>
      </c>
      <c r="L34" s="112">
        <f>Input!L47</f>
        <v>11</v>
      </c>
      <c r="M34" s="112">
        <f>Input!M47</f>
        <v>0</v>
      </c>
      <c r="N34" s="112">
        <f>Input!N47</f>
        <v>0</v>
      </c>
      <c r="O34" s="112">
        <f>Input!O47</f>
        <v>0</v>
      </c>
      <c r="P34" s="112">
        <f>Input!P47</f>
        <v>0</v>
      </c>
      <c r="Q34" s="112">
        <f>Input!Q47</f>
        <v>0</v>
      </c>
      <c r="R34" s="6" t="s">
        <v>532</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3"/>
    </row>
    <row r="35" spans="1:96" ht="15" hidden="1" customHeight="1" outlineLevel="1" x14ac:dyDescent="0.25">
      <c r="A35" s="131"/>
      <c r="B35" s="128" t="s">
        <v>24</v>
      </c>
      <c r="C35" s="75"/>
      <c r="D35" s="112">
        <f>Input!D48</f>
        <v>0</v>
      </c>
      <c r="E35" s="112">
        <f>Input!E48</f>
        <v>0</v>
      </c>
      <c r="F35" s="112">
        <f>Input!F48</f>
        <v>0</v>
      </c>
      <c r="G35" s="112">
        <f>Input!G48</f>
        <v>0</v>
      </c>
      <c r="H35" s="112">
        <f>Input!H48</f>
        <v>0</v>
      </c>
      <c r="I35" s="112">
        <f>Input!I48</f>
        <v>0</v>
      </c>
      <c r="J35" s="112">
        <f>Input!J48</f>
        <v>21</v>
      </c>
      <c r="K35" s="112">
        <f>Input!K48</f>
        <v>36</v>
      </c>
      <c r="L35" s="112">
        <f>Input!L48</f>
        <v>9</v>
      </c>
      <c r="M35" s="112">
        <f>Input!M48</f>
        <v>5</v>
      </c>
      <c r="N35" s="112">
        <f>Input!N48</f>
        <v>1</v>
      </c>
      <c r="O35" s="112">
        <f>Input!O48</f>
        <v>0</v>
      </c>
      <c r="P35" s="112">
        <f>Input!P48</f>
        <v>0</v>
      </c>
      <c r="Q35" s="112">
        <f>Input!Q48</f>
        <v>0</v>
      </c>
      <c r="R35" s="6" t="s">
        <v>533</v>
      </c>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3"/>
    </row>
    <row r="36" spans="1:96" ht="15" hidden="1" customHeight="1" outlineLevel="1" x14ac:dyDescent="0.25">
      <c r="A36" s="131"/>
      <c r="B36" s="128" t="s">
        <v>25</v>
      </c>
      <c r="C36" s="75"/>
      <c r="D36" s="112">
        <f>Input!D49</f>
        <v>0</v>
      </c>
      <c r="E36" s="112">
        <f>Input!E49</f>
        <v>0</v>
      </c>
      <c r="F36" s="112">
        <f>Input!F49</f>
        <v>0</v>
      </c>
      <c r="G36" s="112">
        <f>Input!G49</f>
        <v>0</v>
      </c>
      <c r="H36" s="112">
        <f>Input!H49</f>
        <v>0</v>
      </c>
      <c r="I36" s="112">
        <f>Input!I49</f>
        <v>0</v>
      </c>
      <c r="J36" s="112">
        <f>Input!J49</f>
        <v>0</v>
      </c>
      <c r="K36" s="112">
        <f>Input!K49</f>
        <v>0</v>
      </c>
      <c r="L36" s="112">
        <f>Input!L49</f>
        <v>0</v>
      </c>
      <c r="M36" s="112">
        <f>Input!M49</f>
        <v>0</v>
      </c>
      <c r="N36" s="112">
        <f>Input!N49</f>
        <v>0</v>
      </c>
      <c r="O36" s="112">
        <f>Input!O49</f>
        <v>0</v>
      </c>
      <c r="P36" s="112">
        <f>Input!P49</f>
        <v>0</v>
      </c>
      <c r="Q36" s="112">
        <f>Input!Q49</f>
        <v>0</v>
      </c>
      <c r="R36" s="6" t="s">
        <v>550</v>
      </c>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3"/>
    </row>
    <row r="37" spans="1:96" ht="15" hidden="1" customHeight="1" outlineLevel="1" x14ac:dyDescent="0.25">
      <c r="A37" s="131"/>
      <c r="B37" s="128" t="s">
        <v>26</v>
      </c>
      <c r="C37" s="75"/>
      <c r="D37" s="112">
        <f>Input!D50</f>
        <v>0</v>
      </c>
      <c r="E37" s="112">
        <f>Input!E50</f>
        <v>0</v>
      </c>
      <c r="F37" s="112">
        <f>Input!F50</f>
        <v>0</v>
      </c>
      <c r="G37" s="112">
        <f>Input!G50</f>
        <v>0</v>
      </c>
      <c r="H37" s="112">
        <f>Input!H50</f>
        <v>0</v>
      </c>
      <c r="I37" s="112">
        <f>Input!I50</f>
        <v>0</v>
      </c>
      <c r="J37" s="112">
        <f>Input!J50</f>
        <v>0</v>
      </c>
      <c r="K37" s="112">
        <f>Input!K50</f>
        <v>0</v>
      </c>
      <c r="L37" s="112">
        <f>Input!L50</f>
        <v>0</v>
      </c>
      <c r="M37" s="112">
        <f>Input!M50</f>
        <v>0</v>
      </c>
      <c r="N37" s="112">
        <f>Input!N50</f>
        <v>0</v>
      </c>
      <c r="O37" s="112">
        <f>Input!O50</f>
        <v>0</v>
      </c>
      <c r="P37" s="112">
        <f>Input!P50</f>
        <v>0</v>
      </c>
      <c r="Q37" s="112">
        <f>Input!Q50</f>
        <v>0</v>
      </c>
      <c r="R37" s="6" t="s">
        <v>551</v>
      </c>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3"/>
    </row>
    <row r="38" spans="1:96" ht="15" hidden="1" customHeight="1" outlineLevel="1" x14ac:dyDescent="0.25">
      <c r="A38" s="131"/>
      <c r="B38" s="128" t="s">
        <v>27</v>
      </c>
      <c r="C38" s="75"/>
      <c r="D38" s="112">
        <f>Input!D51</f>
        <v>0</v>
      </c>
      <c r="E38" s="112">
        <f>Input!E51</f>
        <v>0</v>
      </c>
      <c r="F38" s="112">
        <f>Input!F51</f>
        <v>0</v>
      </c>
      <c r="G38" s="112">
        <f>Input!G51</f>
        <v>0</v>
      </c>
      <c r="H38" s="112">
        <f>Input!H51</f>
        <v>0</v>
      </c>
      <c r="I38" s="112">
        <f>Input!I51</f>
        <v>0</v>
      </c>
      <c r="J38" s="112">
        <f>Input!J51</f>
        <v>0</v>
      </c>
      <c r="K38" s="112">
        <f>Input!K51</f>
        <v>0</v>
      </c>
      <c r="L38" s="112">
        <f>Input!L51</f>
        <v>0</v>
      </c>
      <c r="M38" s="112">
        <f>Input!M51</f>
        <v>0</v>
      </c>
      <c r="N38" s="112">
        <f>Input!N51</f>
        <v>0</v>
      </c>
      <c r="O38" s="112">
        <f>Input!O51</f>
        <v>0</v>
      </c>
      <c r="P38" s="112">
        <f>Input!P51</f>
        <v>0</v>
      </c>
      <c r="Q38" s="112">
        <f>Input!Q51</f>
        <v>0</v>
      </c>
      <c r="R38" s="6" t="s">
        <v>552</v>
      </c>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3"/>
    </row>
    <row r="39" spans="1:96" ht="15" hidden="1" customHeight="1" outlineLevel="1" x14ac:dyDescent="0.25">
      <c r="A39" s="131"/>
      <c r="B39" s="128" t="s">
        <v>28</v>
      </c>
      <c r="C39" s="75"/>
      <c r="D39" s="112">
        <f>Input!D52</f>
        <v>0</v>
      </c>
      <c r="E39" s="112">
        <f>Input!E52</f>
        <v>0</v>
      </c>
      <c r="F39" s="112">
        <f>Input!F52</f>
        <v>0</v>
      </c>
      <c r="G39" s="112">
        <f>Input!G52</f>
        <v>0</v>
      </c>
      <c r="H39" s="112">
        <f>Input!H52</f>
        <v>0</v>
      </c>
      <c r="I39" s="112">
        <f>Input!I52</f>
        <v>0</v>
      </c>
      <c r="J39" s="112">
        <f>Input!J52</f>
        <v>0</v>
      </c>
      <c r="K39" s="112">
        <f>Input!K52</f>
        <v>0</v>
      </c>
      <c r="L39" s="112">
        <f>Input!L52</f>
        <v>0</v>
      </c>
      <c r="M39" s="112">
        <f>Input!M52</f>
        <v>0</v>
      </c>
      <c r="N39" s="112">
        <f>Input!N52</f>
        <v>0</v>
      </c>
      <c r="O39" s="112">
        <f>Input!O52</f>
        <v>0</v>
      </c>
      <c r="P39" s="112">
        <f>Input!P52</f>
        <v>0</v>
      </c>
      <c r="Q39" s="112">
        <f>Input!Q52</f>
        <v>0</v>
      </c>
      <c r="R39" s="6" t="s">
        <v>553</v>
      </c>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3"/>
    </row>
    <row r="40" spans="1:96" ht="15" hidden="1" customHeight="1" outlineLevel="1" x14ac:dyDescent="0.25">
      <c r="A40" s="131"/>
      <c r="B40" s="128" t="s">
        <v>29</v>
      </c>
      <c r="C40" s="75"/>
      <c r="D40" s="112">
        <f>Input!D53</f>
        <v>0</v>
      </c>
      <c r="E40" s="112">
        <f>Input!E53</f>
        <v>0</v>
      </c>
      <c r="F40" s="112">
        <f>Input!F53</f>
        <v>0</v>
      </c>
      <c r="G40" s="112">
        <f>Input!G53</f>
        <v>0</v>
      </c>
      <c r="H40" s="112">
        <f>Input!H53</f>
        <v>0</v>
      </c>
      <c r="I40" s="112">
        <f>Input!I53</f>
        <v>0</v>
      </c>
      <c r="J40" s="112">
        <f>Input!J53</f>
        <v>0</v>
      </c>
      <c r="K40" s="112">
        <f>Input!K53</f>
        <v>0</v>
      </c>
      <c r="L40" s="112">
        <f>Input!L53</f>
        <v>0</v>
      </c>
      <c r="M40" s="112">
        <f>Input!M53</f>
        <v>0</v>
      </c>
      <c r="N40" s="112">
        <f>Input!N53</f>
        <v>0</v>
      </c>
      <c r="O40" s="112">
        <f>Input!O53</f>
        <v>0</v>
      </c>
      <c r="P40" s="112">
        <f>Input!P53</f>
        <v>0</v>
      </c>
      <c r="Q40" s="112">
        <f>Input!Q53</f>
        <v>0</v>
      </c>
      <c r="R40" s="6" t="s">
        <v>554</v>
      </c>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3"/>
    </row>
    <row r="41" spans="1:96" ht="15" hidden="1" customHeight="1" outlineLevel="1" x14ac:dyDescent="0.25">
      <c r="A41" s="131"/>
      <c r="B41" s="131"/>
      <c r="C41" s="132"/>
      <c r="D41" s="132"/>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3"/>
    </row>
    <row r="42" spans="1:96" s="8" customFormat="1" ht="15" hidden="1" customHeight="1" outlineLevel="1" x14ac:dyDescent="0.25">
      <c r="A42" s="89"/>
      <c r="B42" s="128" t="s">
        <v>14</v>
      </c>
      <c r="C42" s="129" t="s">
        <v>15</v>
      </c>
      <c r="D42" s="130" t="s">
        <v>16</v>
      </c>
      <c r="E42" s="128" t="s">
        <v>17</v>
      </c>
      <c r="F42" s="128" t="s">
        <v>18</v>
      </c>
      <c r="G42" s="128" t="s">
        <v>19</v>
      </c>
      <c r="H42" s="128" t="s">
        <v>20</v>
      </c>
      <c r="I42" s="128" t="s">
        <v>21</v>
      </c>
      <c r="J42" s="128" t="s">
        <v>22</v>
      </c>
      <c r="K42" s="128" t="s">
        <v>23</v>
      </c>
      <c r="L42" s="128" t="s">
        <v>24</v>
      </c>
      <c r="M42" s="128" t="s">
        <v>25</v>
      </c>
      <c r="N42" s="128" t="s">
        <v>26</v>
      </c>
      <c r="O42" s="128" t="s">
        <v>27</v>
      </c>
      <c r="P42" s="128" t="s">
        <v>28</v>
      </c>
      <c r="Q42" s="128" t="s">
        <v>29</v>
      </c>
      <c r="R42" s="27"/>
      <c r="S42" s="89"/>
      <c r="T42" s="89"/>
      <c r="U42" s="89"/>
      <c r="V42" s="181" t="s">
        <v>820</v>
      </c>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28"/>
    </row>
    <row r="43" spans="1:96" s="8" customFormat="1" ht="15" hidden="1" customHeight="1" outlineLevel="1" x14ac:dyDescent="0.25">
      <c r="A43" s="89"/>
      <c r="B43" s="129" t="s">
        <v>30</v>
      </c>
      <c r="C43" s="77"/>
      <c r="D43" s="110"/>
      <c r="E43" s="110"/>
      <c r="F43" s="110"/>
      <c r="G43" s="110"/>
      <c r="H43" s="110"/>
      <c r="I43" s="110"/>
      <c r="J43" s="110"/>
      <c r="K43" s="110"/>
      <c r="L43" s="110"/>
      <c r="M43" s="110"/>
      <c r="N43" s="110"/>
      <c r="O43" s="110"/>
      <c r="P43" s="110"/>
      <c r="Q43" s="111"/>
      <c r="R43" s="27"/>
      <c r="S43" s="89"/>
      <c r="T43" s="89"/>
      <c r="U43" s="89"/>
      <c r="V43" s="26" t="s">
        <v>822</v>
      </c>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28"/>
    </row>
    <row r="44" spans="1:96" s="8" customFormat="1" ht="15" hidden="1" customHeight="1" outlineLevel="1" x14ac:dyDescent="0.25">
      <c r="A44" s="89"/>
      <c r="B44" s="130" t="s">
        <v>16</v>
      </c>
      <c r="C44" s="75"/>
      <c r="D44" s="186">
        <f>Input!D59</f>
        <v>16</v>
      </c>
      <c r="E44" s="186">
        <f>Input!E59</f>
        <v>49</v>
      </c>
      <c r="F44" s="186">
        <f>Input!F59</f>
        <v>0</v>
      </c>
      <c r="G44" s="186">
        <f>Input!G59</f>
        <v>0</v>
      </c>
      <c r="H44" s="186">
        <f>Input!H59</f>
        <v>0</v>
      </c>
      <c r="I44" s="186">
        <f>Input!I59</f>
        <v>0</v>
      </c>
      <c r="J44" s="186">
        <f>Input!J59</f>
        <v>0</v>
      </c>
      <c r="K44" s="186">
        <f>Input!K59</f>
        <v>0</v>
      </c>
      <c r="L44" s="186">
        <f>Input!L59</f>
        <v>0</v>
      </c>
      <c r="M44" s="186">
        <f>Input!M59</f>
        <v>0</v>
      </c>
      <c r="N44" s="186">
        <f>Input!N59</f>
        <v>0</v>
      </c>
      <c r="O44" s="186">
        <f>Input!O59</f>
        <v>0</v>
      </c>
      <c r="P44" s="186">
        <f>Input!P59</f>
        <v>0</v>
      </c>
      <c r="Q44" s="186">
        <f>Input!Q59</f>
        <v>0</v>
      </c>
      <c r="R44" s="26" t="s">
        <v>511</v>
      </c>
      <c r="S44" s="89"/>
      <c r="T44" s="89"/>
      <c r="U44" s="89"/>
      <c r="V44" s="89">
        <f>SUM(E44:Q44)</f>
        <v>49</v>
      </c>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28"/>
    </row>
    <row r="45" spans="1:96" s="8" customFormat="1" ht="15" hidden="1" customHeight="1" outlineLevel="1" x14ac:dyDescent="0.25">
      <c r="A45" s="89"/>
      <c r="B45" s="128" t="s">
        <v>17</v>
      </c>
      <c r="C45" s="75"/>
      <c r="D45" s="186">
        <f>Input!D60</f>
        <v>0</v>
      </c>
      <c r="E45" s="186">
        <f>Input!E60</f>
        <v>274</v>
      </c>
      <c r="F45" s="186">
        <f>Input!F60</f>
        <v>847</v>
      </c>
      <c r="G45" s="186">
        <f>Input!G60</f>
        <v>49</v>
      </c>
      <c r="H45" s="186">
        <f>Input!H60</f>
        <v>46</v>
      </c>
      <c r="I45" s="186">
        <f>Input!I60</f>
        <v>27</v>
      </c>
      <c r="J45" s="186">
        <f>Input!J60</f>
        <v>1</v>
      </c>
      <c r="K45" s="186">
        <f>Input!K60</f>
        <v>0</v>
      </c>
      <c r="L45" s="186">
        <f>Input!L60</f>
        <v>0</v>
      </c>
      <c r="M45" s="186">
        <f>Input!M60</f>
        <v>0</v>
      </c>
      <c r="N45" s="186">
        <f>Input!N60</f>
        <v>0</v>
      </c>
      <c r="O45" s="186">
        <f>Input!O60</f>
        <v>0</v>
      </c>
      <c r="P45" s="186">
        <f>Input!P60</f>
        <v>0</v>
      </c>
      <c r="Q45" s="186">
        <f>Input!Q60</f>
        <v>0</v>
      </c>
      <c r="R45" s="26" t="s">
        <v>512</v>
      </c>
      <c r="S45" s="89"/>
      <c r="T45" s="89"/>
      <c r="U45" s="89"/>
      <c r="V45" s="89">
        <f>SUM(F45:Q45)</f>
        <v>970</v>
      </c>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28"/>
    </row>
    <row r="46" spans="1:96" s="8" customFormat="1" ht="15" hidden="1" customHeight="1" outlineLevel="1" x14ac:dyDescent="0.25">
      <c r="A46" s="89"/>
      <c r="B46" s="128" t="s">
        <v>18</v>
      </c>
      <c r="C46" s="75"/>
      <c r="D46" s="186">
        <f>Input!D61</f>
        <v>0</v>
      </c>
      <c r="E46" s="186">
        <f>Input!E61</f>
        <v>0</v>
      </c>
      <c r="F46" s="186">
        <f>Input!F61</f>
        <v>488</v>
      </c>
      <c r="G46" s="186">
        <f>Input!G61</f>
        <v>1204</v>
      </c>
      <c r="H46" s="186">
        <f>Input!H61</f>
        <v>130</v>
      </c>
      <c r="I46" s="186">
        <f>Input!I61</f>
        <v>6</v>
      </c>
      <c r="J46" s="186">
        <f>Input!J61</f>
        <v>1</v>
      </c>
      <c r="K46" s="186">
        <f>Input!K61</f>
        <v>2</v>
      </c>
      <c r="L46" s="186">
        <f>Input!L61</f>
        <v>0</v>
      </c>
      <c r="M46" s="186">
        <f>Input!M61</f>
        <v>2</v>
      </c>
      <c r="N46" s="186">
        <f>Input!N61</f>
        <v>0</v>
      </c>
      <c r="O46" s="186">
        <f>Input!O61</f>
        <v>0</v>
      </c>
      <c r="P46" s="186">
        <f>Input!P61</f>
        <v>0</v>
      </c>
      <c r="Q46" s="186">
        <f>Input!Q61</f>
        <v>0</v>
      </c>
      <c r="R46" s="26" t="s">
        <v>513</v>
      </c>
      <c r="S46" s="89"/>
      <c r="T46" s="89"/>
      <c r="U46" s="89"/>
      <c r="V46" s="89">
        <f>SUM(G46:Q46)</f>
        <v>1345</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28"/>
    </row>
    <row r="47" spans="1:96" s="8" customFormat="1" ht="15" hidden="1" customHeight="1" outlineLevel="1" x14ac:dyDescent="0.25">
      <c r="A47" s="89"/>
      <c r="B47" s="128" t="s">
        <v>19</v>
      </c>
      <c r="C47" s="75"/>
      <c r="D47" s="186">
        <f>Input!D62</f>
        <v>0</v>
      </c>
      <c r="E47" s="186">
        <f>Input!E62</f>
        <v>0</v>
      </c>
      <c r="F47" s="186">
        <f>Input!F62</f>
        <v>3</v>
      </c>
      <c r="G47" s="186">
        <f>Input!G62</f>
        <v>814</v>
      </c>
      <c r="H47" s="186">
        <f>Input!H62</f>
        <v>895</v>
      </c>
      <c r="I47" s="186">
        <f>Input!I62</f>
        <v>80</v>
      </c>
      <c r="J47" s="186">
        <f>Input!J62</f>
        <v>28</v>
      </c>
      <c r="K47" s="186">
        <f>Input!K62</f>
        <v>18</v>
      </c>
      <c r="L47" s="186">
        <f>Input!L62</f>
        <v>11</v>
      </c>
      <c r="M47" s="186">
        <f>Input!M62</f>
        <v>2</v>
      </c>
      <c r="N47" s="186">
        <f>Input!N62</f>
        <v>2</v>
      </c>
      <c r="O47" s="186">
        <f>Input!O62</f>
        <v>4</v>
      </c>
      <c r="P47" s="186">
        <f>Input!P62</f>
        <v>0</v>
      </c>
      <c r="Q47" s="186">
        <f>Input!Q62</f>
        <v>0</v>
      </c>
      <c r="R47" s="26" t="s">
        <v>514</v>
      </c>
      <c r="S47" s="89"/>
      <c r="T47" s="89"/>
      <c r="U47" s="89"/>
      <c r="V47" s="89">
        <f>SUM(H47:Q47)</f>
        <v>1040</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28"/>
    </row>
    <row r="48" spans="1:96" s="8" customFormat="1" ht="15" hidden="1" customHeight="1" outlineLevel="1" x14ac:dyDescent="0.25">
      <c r="A48" s="89"/>
      <c r="B48" s="128" t="s">
        <v>20</v>
      </c>
      <c r="C48" s="75"/>
      <c r="D48" s="186">
        <f>Input!D63</f>
        <v>0</v>
      </c>
      <c r="E48" s="186">
        <f>Input!E63</f>
        <v>0</v>
      </c>
      <c r="F48" s="186">
        <f>Input!F63</f>
        <v>0</v>
      </c>
      <c r="G48" s="186">
        <f>Input!G63</f>
        <v>6</v>
      </c>
      <c r="H48" s="186">
        <f>Input!H63</f>
        <v>563</v>
      </c>
      <c r="I48" s="186">
        <f>Input!I63</f>
        <v>247</v>
      </c>
      <c r="J48" s="186">
        <f>Input!J63</f>
        <v>16</v>
      </c>
      <c r="K48" s="186">
        <f>Input!K63</f>
        <v>0</v>
      </c>
      <c r="L48" s="186">
        <f>Input!L63</f>
        <v>1</v>
      </c>
      <c r="M48" s="186">
        <f>Input!M63</f>
        <v>2</v>
      </c>
      <c r="N48" s="186">
        <f>Input!N63</f>
        <v>0</v>
      </c>
      <c r="O48" s="186">
        <f>Input!O63</f>
        <v>0</v>
      </c>
      <c r="P48" s="186">
        <f>Input!P63</f>
        <v>0</v>
      </c>
      <c r="Q48" s="186">
        <f>Input!Q63</f>
        <v>0</v>
      </c>
      <c r="R48" s="26" t="s">
        <v>515</v>
      </c>
      <c r="S48" s="89"/>
      <c r="T48" s="89"/>
      <c r="U48" s="89"/>
      <c r="V48" s="89">
        <f>SUM(I48:Q48)</f>
        <v>266</v>
      </c>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28"/>
    </row>
    <row r="49" spans="1:96" s="4" customFormat="1" ht="15" hidden="1" customHeight="1" outlineLevel="1" x14ac:dyDescent="0.3">
      <c r="A49" s="93"/>
      <c r="B49" s="128" t="s">
        <v>21</v>
      </c>
      <c r="C49" s="75"/>
      <c r="D49" s="186">
        <f>Input!D64</f>
        <v>0</v>
      </c>
      <c r="E49" s="186">
        <f>Input!E64</f>
        <v>0</v>
      </c>
      <c r="F49" s="186">
        <f>Input!F64</f>
        <v>0</v>
      </c>
      <c r="G49" s="186">
        <f>Input!G64</f>
        <v>0</v>
      </c>
      <c r="H49" s="186">
        <f>Input!H64</f>
        <v>32</v>
      </c>
      <c r="I49" s="186">
        <f>Input!I64</f>
        <v>419</v>
      </c>
      <c r="J49" s="186">
        <f>Input!J64</f>
        <v>138</v>
      </c>
      <c r="K49" s="186">
        <f>Input!K64</f>
        <v>9</v>
      </c>
      <c r="L49" s="186">
        <f>Input!L64</f>
        <v>2</v>
      </c>
      <c r="M49" s="186">
        <f>Input!M64</f>
        <v>2</v>
      </c>
      <c r="N49" s="186">
        <f>Input!N64</f>
        <v>0</v>
      </c>
      <c r="O49" s="186">
        <f>Input!O64</f>
        <v>0</v>
      </c>
      <c r="P49" s="186">
        <f>Input!P64</f>
        <v>0</v>
      </c>
      <c r="Q49" s="186">
        <f>Input!Q64</f>
        <v>0</v>
      </c>
      <c r="R49" s="26" t="s">
        <v>516</v>
      </c>
      <c r="S49" s="93"/>
      <c r="T49" s="93"/>
      <c r="U49" s="93"/>
      <c r="V49" s="89">
        <f>SUM(J49:Q49)</f>
        <v>151</v>
      </c>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row>
    <row r="50" spans="1:96" s="4" customFormat="1" ht="15" hidden="1" customHeight="1" outlineLevel="1" x14ac:dyDescent="0.3">
      <c r="A50" s="95"/>
      <c r="B50" s="128" t="s">
        <v>22</v>
      </c>
      <c r="C50" s="75"/>
      <c r="D50" s="186">
        <f>Input!D65</f>
        <v>0</v>
      </c>
      <c r="E50" s="186">
        <f>Input!E65</f>
        <v>0</v>
      </c>
      <c r="F50" s="186">
        <f>Input!F65</f>
        <v>0</v>
      </c>
      <c r="G50" s="186">
        <f>Input!G65</f>
        <v>0</v>
      </c>
      <c r="H50" s="186">
        <f>Input!H65</f>
        <v>0</v>
      </c>
      <c r="I50" s="186">
        <f>Input!I65</f>
        <v>80</v>
      </c>
      <c r="J50" s="186">
        <f>Input!J65</f>
        <v>220</v>
      </c>
      <c r="K50" s="186">
        <f>Input!K65</f>
        <v>164</v>
      </c>
      <c r="L50" s="186">
        <f>Input!L65</f>
        <v>18</v>
      </c>
      <c r="M50" s="186">
        <f>Input!M65</f>
        <v>1</v>
      </c>
      <c r="N50" s="186">
        <f>Input!N65</f>
        <v>0</v>
      </c>
      <c r="O50" s="186">
        <f>Input!O65</f>
        <v>0</v>
      </c>
      <c r="P50" s="186">
        <f>Input!P65</f>
        <v>0</v>
      </c>
      <c r="Q50" s="186">
        <f>Input!Q65</f>
        <v>0</v>
      </c>
      <c r="R50" s="26" t="s">
        <v>517</v>
      </c>
      <c r="S50" s="93"/>
      <c r="T50" s="93"/>
      <c r="U50" s="93"/>
      <c r="V50" s="89">
        <f>SUM(K50:Q50)</f>
        <v>183</v>
      </c>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row>
    <row r="51" spans="1:96" s="4" customFormat="1" ht="15" hidden="1" customHeight="1" outlineLevel="1" x14ac:dyDescent="0.3">
      <c r="A51" s="96"/>
      <c r="B51" s="128" t="s">
        <v>23</v>
      </c>
      <c r="C51" s="75"/>
      <c r="D51" s="186">
        <f>Input!D66</f>
        <v>0</v>
      </c>
      <c r="E51" s="186">
        <f>Input!E66</f>
        <v>0</v>
      </c>
      <c r="F51" s="186">
        <f>Input!F66</f>
        <v>0</v>
      </c>
      <c r="G51" s="186">
        <f>Input!G66</f>
        <v>0</v>
      </c>
      <c r="H51" s="186">
        <f>Input!H66</f>
        <v>0</v>
      </c>
      <c r="I51" s="186">
        <f>Input!I66</f>
        <v>52</v>
      </c>
      <c r="J51" s="186">
        <f>Input!J66</f>
        <v>7</v>
      </c>
      <c r="K51" s="186">
        <f>Input!K66</f>
        <v>347</v>
      </c>
      <c r="L51" s="186">
        <f>Input!L66</f>
        <v>146</v>
      </c>
      <c r="M51" s="186">
        <f>Input!M66</f>
        <v>4</v>
      </c>
      <c r="N51" s="186">
        <f>Input!N66</f>
        <v>0</v>
      </c>
      <c r="O51" s="186">
        <f>Input!O66</f>
        <v>0</v>
      </c>
      <c r="P51" s="186">
        <f>Input!P66</f>
        <v>0</v>
      </c>
      <c r="Q51" s="186">
        <f>Input!Q66</f>
        <v>0</v>
      </c>
      <c r="R51" s="26" t="s">
        <v>518</v>
      </c>
      <c r="S51" s="93"/>
      <c r="T51" s="93"/>
      <c r="U51" s="93"/>
      <c r="V51" s="89">
        <f>SUM(L51:Q51)</f>
        <v>150</v>
      </c>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row>
    <row r="52" spans="1:96" s="8" customFormat="1" ht="15" hidden="1" customHeight="1" outlineLevel="1" x14ac:dyDescent="0.25">
      <c r="A52" s="89"/>
      <c r="B52" s="128" t="s">
        <v>24</v>
      </c>
      <c r="C52" s="75"/>
      <c r="D52" s="186">
        <f>Input!D67</f>
        <v>0</v>
      </c>
      <c r="E52" s="186">
        <f>Input!E67</f>
        <v>0</v>
      </c>
      <c r="F52" s="186">
        <f>Input!F67</f>
        <v>0</v>
      </c>
      <c r="G52" s="186">
        <f>Input!G67</f>
        <v>0</v>
      </c>
      <c r="H52" s="186">
        <f>Input!H67</f>
        <v>0</v>
      </c>
      <c r="I52" s="186">
        <f>Input!I67</f>
        <v>0</v>
      </c>
      <c r="J52" s="186">
        <f>Input!J67</f>
        <v>0</v>
      </c>
      <c r="K52" s="186">
        <f>Input!K67</f>
        <v>63</v>
      </c>
      <c r="L52" s="186">
        <f>Input!L67</f>
        <v>276</v>
      </c>
      <c r="M52" s="186">
        <f>Input!M67</f>
        <v>27</v>
      </c>
      <c r="N52" s="186">
        <f>Input!N67</f>
        <v>2</v>
      </c>
      <c r="O52" s="186">
        <f>Input!O67</f>
        <v>0</v>
      </c>
      <c r="P52" s="186">
        <f>Input!P67</f>
        <v>0</v>
      </c>
      <c r="Q52" s="186">
        <f>Input!Q67</f>
        <v>0</v>
      </c>
      <c r="R52" s="26" t="s">
        <v>519</v>
      </c>
      <c r="S52" s="89"/>
      <c r="T52" s="89"/>
      <c r="U52" s="89"/>
      <c r="V52" s="89">
        <f>SUM(M52:Q52)</f>
        <v>29</v>
      </c>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row>
    <row r="53" spans="1:96" s="8" customFormat="1" ht="15" hidden="1" customHeight="1" outlineLevel="1" x14ac:dyDescent="0.25">
      <c r="A53" s="89"/>
      <c r="B53" s="128" t="s">
        <v>25</v>
      </c>
      <c r="C53" s="75"/>
      <c r="D53" s="186">
        <f>Input!D68</f>
        <v>0</v>
      </c>
      <c r="E53" s="186">
        <f>Input!E68</f>
        <v>0</v>
      </c>
      <c r="F53" s="186">
        <f>Input!F68</f>
        <v>0</v>
      </c>
      <c r="G53" s="186">
        <f>Input!G68</f>
        <v>0</v>
      </c>
      <c r="H53" s="186">
        <f>Input!H68</f>
        <v>0</v>
      </c>
      <c r="I53" s="186">
        <f>Input!I68</f>
        <v>0</v>
      </c>
      <c r="J53" s="186">
        <f>Input!J68</f>
        <v>0</v>
      </c>
      <c r="K53" s="186">
        <f>Input!K68</f>
        <v>0</v>
      </c>
      <c r="L53" s="186">
        <f>Input!L68</f>
        <v>34</v>
      </c>
      <c r="M53" s="186">
        <f>Input!M68</f>
        <v>165</v>
      </c>
      <c r="N53" s="186">
        <f>Input!N68</f>
        <v>37</v>
      </c>
      <c r="O53" s="186">
        <f>Input!O68</f>
        <v>0</v>
      </c>
      <c r="P53" s="186">
        <f>Input!P68</f>
        <v>0</v>
      </c>
      <c r="Q53" s="186">
        <f>Input!Q68</f>
        <v>0</v>
      </c>
      <c r="R53" s="26" t="s">
        <v>520</v>
      </c>
      <c r="S53" s="89"/>
      <c r="T53" s="89"/>
      <c r="U53" s="89"/>
      <c r="V53" s="89">
        <f>SUM(N53:Q53)</f>
        <v>37</v>
      </c>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row>
    <row r="54" spans="1:96" s="8" customFormat="1" ht="15" hidden="1" customHeight="1" outlineLevel="1" x14ac:dyDescent="0.25">
      <c r="A54" s="89"/>
      <c r="B54" s="128" t="s">
        <v>26</v>
      </c>
      <c r="C54" s="75"/>
      <c r="D54" s="186">
        <f>Input!D69</f>
        <v>0</v>
      </c>
      <c r="E54" s="186">
        <f>Input!E69</f>
        <v>0</v>
      </c>
      <c r="F54" s="186">
        <f>Input!F69</f>
        <v>0</v>
      </c>
      <c r="G54" s="186">
        <f>Input!G69</f>
        <v>0</v>
      </c>
      <c r="H54" s="186">
        <f>Input!H69</f>
        <v>0</v>
      </c>
      <c r="I54" s="186">
        <f>Input!I69</f>
        <v>0</v>
      </c>
      <c r="J54" s="186">
        <f>Input!J69</f>
        <v>0</v>
      </c>
      <c r="K54" s="186">
        <f>Input!K69</f>
        <v>0</v>
      </c>
      <c r="L54" s="186">
        <f>Input!L69</f>
        <v>0</v>
      </c>
      <c r="M54" s="186">
        <f>Input!M69</f>
        <v>37</v>
      </c>
      <c r="N54" s="186">
        <f>Input!N69</f>
        <v>30</v>
      </c>
      <c r="O54" s="186">
        <f>Input!O69</f>
        <v>7</v>
      </c>
      <c r="P54" s="186">
        <f>Input!P69</f>
        <v>1</v>
      </c>
      <c r="Q54" s="186">
        <f>Input!Q69</f>
        <v>0</v>
      </c>
      <c r="R54" s="26" t="s">
        <v>521</v>
      </c>
      <c r="S54" s="89"/>
      <c r="T54" s="89"/>
      <c r="U54" s="89"/>
      <c r="V54" s="89">
        <f>SUM(O54:Q54)</f>
        <v>8</v>
      </c>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row>
    <row r="55" spans="1:96" s="8" customFormat="1" ht="15" hidden="1" customHeight="1" outlineLevel="1" x14ac:dyDescent="0.25">
      <c r="A55" s="89"/>
      <c r="B55" s="128" t="s">
        <v>27</v>
      </c>
      <c r="C55" s="75"/>
      <c r="D55" s="186">
        <f>Input!D70</f>
        <v>0</v>
      </c>
      <c r="E55" s="186">
        <f>Input!E70</f>
        <v>0</v>
      </c>
      <c r="F55" s="186">
        <f>Input!F70</f>
        <v>0</v>
      </c>
      <c r="G55" s="186">
        <f>Input!G70</f>
        <v>0</v>
      </c>
      <c r="H55" s="186">
        <f>Input!H70</f>
        <v>0</v>
      </c>
      <c r="I55" s="186">
        <f>Input!I70</f>
        <v>0</v>
      </c>
      <c r="J55" s="186">
        <f>Input!J70</f>
        <v>0</v>
      </c>
      <c r="K55" s="186">
        <f>Input!K70</f>
        <v>0</v>
      </c>
      <c r="L55" s="186">
        <f>Input!L70</f>
        <v>0</v>
      </c>
      <c r="M55" s="186">
        <f>Input!M70</f>
        <v>0</v>
      </c>
      <c r="N55" s="186">
        <f>Input!N70</f>
        <v>3</v>
      </c>
      <c r="O55" s="186">
        <f>Input!O70</f>
        <v>1</v>
      </c>
      <c r="P55" s="186">
        <f>Input!P70</f>
        <v>0</v>
      </c>
      <c r="Q55" s="186">
        <f>Input!Q70</f>
        <v>0</v>
      </c>
      <c r="R55" s="26" t="s">
        <v>522</v>
      </c>
      <c r="S55" s="89"/>
      <c r="T55" s="89"/>
      <c r="U55" s="89"/>
      <c r="V55" s="89">
        <f>SUM(P55:Q55)</f>
        <v>0</v>
      </c>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row>
    <row r="56" spans="1:96" s="34" customFormat="1" ht="15" hidden="1" customHeight="1" outlineLevel="1" x14ac:dyDescent="0.25">
      <c r="A56" s="9"/>
      <c r="B56" s="128" t="s">
        <v>28</v>
      </c>
      <c r="C56" s="75"/>
      <c r="D56" s="186">
        <f>Input!D71</f>
        <v>0</v>
      </c>
      <c r="E56" s="186">
        <f>Input!E71</f>
        <v>0</v>
      </c>
      <c r="F56" s="186">
        <f>Input!F71</f>
        <v>0</v>
      </c>
      <c r="G56" s="186">
        <f>Input!G71</f>
        <v>0</v>
      </c>
      <c r="H56" s="186">
        <f>Input!H71</f>
        <v>0</v>
      </c>
      <c r="I56" s="186">
        <f>Input!I71</f>
        <v>0</v>
      </c>
      <c r="J56" s="186">
        <f>Input!J71</f>
        <v>0</v>
      </c>
      <c r="K56" s="186">
        <f>Input!K71</f>
        <v>0</v>
      </c>
      <c r="L56" s="186">
        <f>Input!L71</f>
        <v>0</v>
      </c>
      <c r="M56" s="186">
        <f>Input!M71</f>
        <v>0</v>
      </c>
      <c r="N56" s="186">
        <f>Input!N71</f>
        <v>0</v>
      </c>
      <c r="O56" s="186">
        <f>Input!O71</f>
        <v>0</v>
      </c>
      <c r="P56" s="186">
        <f>Input!P71</f>
        <v>0</v>
      </c>
      <c r="Q56" s="186">
        <f>Input!Q71</f>
        <v>0</v>
      </c>
      <c r="R56" s="26" t="s">
        <v>523</v>
      </c>
      <c r="S56" s="9"/>
      <c r="T56" s="9"/>
      <c r="U56" s="9"/>
      <c r="V56" s="89">
        <f>SUM(Q56)</f>
        <v>0</v>
      </c>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row>
    <row r="57" spans="1:96" s="9" customFormat="1" ht="15" hidden="1" customHeight="1" outlineLevel="1" x14ac:dyDescent="0.25">
      <c r="B57" s="128" t="s">
        <v>29</v>
      </c>
      <c r="C57" s="75"/>
      <c r="D57" s="186">
        <f>Input!D72</f>
        <v>0</v>
      </c>
      <c r="E57" s="186">
        <f>Input!E72</f>
        <v>0</v>
      </c>
      <c r="F57" s="186">
        <f>Input!F72</f>
        <v>0</v>
      </c>
      <c r="G57" s="186">
        <f>Input!G72</f>
        <v>0</v>
      </c>
      <c r="H57" s="186">
        <f>Input!H72</f>
        <v>0</v>
      </c>
      <c r="I57" s="186">
        <f>Input!I72</f>
        <v>0</v>
      </c>
      <c r="J57" s="186">
        <f>Input!J72</f>
        <v>0</v>
      </c>
      <c r="K57" s="186">
        <f>Input!K72</f>
        <v>0</v>
      </c>
      <c r="L57" s="186">
        <f>Input!L72</f>
        <v>0</v>
      </c>
      <c r="M57" s="186">
        <f>Input!M72</f>
        <v>0</v>
      </c>
      <c r="N57" s="186">
        <f>Input!N72</f>
        <v>0</v>
      </c>
      <c r="O57" s="186">
        <f>Input!O72</f>
        <v>0</v>
      </c>
      <c r="P57" s="186">
        <f>Input!P72</f>
        <v>0</v>
      </c>
      <c r="Q57" s="186">
        <f>Input!Q72</f>
        <v>0</v>
      </c>
      <c r="R57" s="26" t="s">
        <v>524</v>
      </c>
      <c r="V57" s="89"/>
    </row>
    <row r="58" spans="1:96" s="9" customFormat="1" ht="15" hidden="1" customHeight="1" outlineLevel="1" x14ac:dyDescent="0.25">
      <c r="B58" s="178"/>
      <c r="C58" s="93"/>
      <c r="D58" s="179"/>
      <c r="E58" s="179"/>
      <c r="F58" s="179"/>
      <c r="G58" s="179"/>
      <c r="H58" s="179"/>
      <c r="I58" s="179"/>
      <c r="J58" s="179"/>
      <c r="K58" s="179"/>
      <c r="L58" s="179"/>
      <c r="M58" s="179"/>
      <c r="N58" s="179"/>
      <c r="O58" s="179"/>
      <c r="P58" s="179"/>
      <c r="Q58" s="179"/>
      <c r="R58" s="26"/>
    </row>
    <row r="59" spans="1:96" s="9" customFormat="1" ht="15" hidden="1" customHeight="1" outlineLevel="1" x14ac:dyDescent="0.25">
      <c r="B59" s="180" t="s">
        <v>819</v>
      </c>
      <c r="C59" s="93"/>
      <c r="D59" s="179">
        <f>SUM(D45:D57)</f>
        <v>0</v>
      </c>
      <c r="E59" s="179">
        <f>SUM(E46:E57)</f>
        <v>0</v>
      </c>
      <c r="F59" s="179">
        <f>SUM(F47:F57)</f>
        <v>3</v>
      </c>
      <c r="G59" s="179">
        <f>SUM(G48:G57)</f>
        <v>6</v>
      </c>
      <c r="H59" s="179">
        <f>SUM(H49:H57)</f>
        <v>32</v>
      </c>
      <c r="I59" s="179">
        <f>SUM(I50:I57)</f>
        <v>132</v>
      </c>
      <c r="J59" s="179">
        <f>SUM(J51:J57)</f>
        <v>7</v>
      </c>
      <c r="K59" s="179">
        <f>SUM(K52:K57)</f>
        <v>63</v>
      </c>
      <c r="L59" s="179">
        <f>SUM(L53:L57)</f>
        <v>34</v>
      </c>
      <c r="M59" s="179">
        <f>SUM(M54:M57)</f>
        <v>37</v>
      </c>
      <c r="N59" s="179">
        <f>SUM(N55:N57)</f>
        <v>3</v>
      </c>
      <c r="O59" s="179">
        <f>SUM(O56:O57)</f>
        <v>0</v>
      </c>
      <c r="P59" s="179">
        <f>SUM(P57)</f>
        <v>0</v>
      </c>
      <c r="Q59" s="179"/>
      <c r="R59" s="26" t="s">
        <v>821</v>
      </c>
    </row>
    <row r="60" spans="1:96" s="8" customFormat="1" ht="15" hidden="1" customHeight="1" outlineLevel="1" x14ac:dyDescent="0.25">
      <c r="A60" s="89"/>
      <c r="B60" s="131"/>
      <c r="C60" s="131"/>
      <c r="D60" s="131"/>
      <c r="E60" s="131"/>
      <c r="F60" s="131"/>
      <c r="G60" s="131"/>
      <c r="H60" s="131"/>
      <c r="I60" s="131"/>
      <c r="J60" s="131"/>
      <c r="K60" s="131"/>
      <c r="L60" s="131"/>
      <c r="M60" s="131"/>
      <c r="N60" s="131"/>
      <c r="O60" s="131"/>
      <c r="P60" s="131"/>
      <c r="Q60" s="131"/>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row>
    <row r="61" spans="1:96" s="5" customFormat="1" ht="15.75" hidden="1" outlineLevel="1" x14ac:dyDescent="0.25">
      <c r="B61" s="5" t="s">
        <v>46</v>
      </c>
    </row>
    <row r="62" spans="1:96" s="8" customFormat="1" ht="15" hidden="1" customHeight="1" outlineLevel="1" x14ac:dyDescent="0.25">
      <c r="A62" s="131"/>
      <c r="B62" s="131"/>
      <c r="C62" s="131"/>
      <c r="D62" s="131"/>
      <c r="E62" s="3"/>
      <c r="F62" s="131"/>
      <c r="G62" s="131"/>
      <c r="H62" s="131"/>
      <c r="I62" s="131"/>
      <c r="J62" s="131"/>
      <c r="K62" s="131"/>
      <c r="L62" s="131"/>
      <c r="M62" s="131"/>
      <c r="N62" s="131"/>
      <c r="O62" s="131"/>
      <c r="P62" s="131"/>
      <c r="Q62" s="131"/>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28"/>
    </row>
    <row r="63" spans="1:96" s="8" customFormat="1" ht="15" hidden="1" customHeight="1" outlineLevel="1" x14ac:dyDescent="0.25">
      <c r="A63" s="131"/>
      <c r="B63" s="128" t="s">
        <v>45</v>
      </c>
      <c r="C63" s="129" t="s">
        <v>15</v>
      </c>
      <c r="D63" s="130" t="s">
        <v>16</v>
      </c>
      <c r="E63" s="128" t="s">
        <v>17</v>
      </c>
      <c r="F63" s="128" t="s">
        <v>18</v>
      </c>
      <c r="G63" s="128" t="s">
        <v>19</v>
      </c>
      <c r="H63" s="128" t="s">
        <v>20</v>
      </c>
      <c r="I63" s="128" t="s">
        <v>21</v>
      </c>
      <c r="J63" s="128" t="s">
        <v>22</v>
      </c>
      <c r="K63" s="128" t="s">
        <v>23</v>
      </c>
      <c r="L63" s="128" t="s">
        <v>24</v>
      </c>
      <c r="M63" s="128" t="s">
        <v>25</v>
      </c>
      <c r="N63" s="128" t="s">
        <v>26</v>
      </c>
      <c r="O63" s="128" t="s">
        <v>27</v>
      </c>
      <c r="P63" s="128" t="s">
        <v>28</v>
      </c>
      <c r="Q63" s="128" t="s">
        <v>29</v>
      </c>
      <c r="R63" s="27"/>
      <c r="S63" s="89"/>
      <c r="T63" s="89"/>
      <c r="U63" s="89"/>
      <c r="V63" s="181" t="s">
        <v>820</v>
      </c>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28"/>
    </row>
    <row r="64" spans="1:96" s="8" customFormat="1" ht="15" hidden="1" customHeight="1" outlineLevel="1" x14ac:dyDescent="0.25">
      <c r="A64" s="89"/>
      <c r="B64" s="129" t="s">
        <v>30</v>
      </c>
      <c r="C64" s="77"/>
      <c r="D64" s="110"/>
      <c r="E64" s="110"/>
      <c r="F64" s="110"/>
      <c r="G64" s="110"/>
      <c r="H64" s="110"/>
      <c r="I64" s="110"/>
      <c r="J64" s="110"/>
      <c r="K64" s="110"/>
      <c r="L64" s="110"/>
      <c r="M64" s="110"/>
      <c r="N64" s="110"/>
      <c r="O64" s="110"/>
      <c r="P64" s="110"/>
      <c r="Q64" s="111"/>
      <c r="R64" s="27"/>
      <c r="S64" s="89"/>
      <c r="T64" s="89"/>
      <c r="U64" s="89"/>
      <c r="V64" s="26" t="s">
        <v>824</v>
      </c>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28"/>
    </row>
    <row r="65" spans="1:96" s="8" customFormat="1" ht="15" hidden="1" customHeight="1" outlineLevel="1" x14ac:dyDescent="0.25">
      <c r="A65" s="89"/>
      <c r="B65" s="130" t="s">
        <v>16</v>
      </c>
      <c r="C65" s="75"/>
      <c r="D65" s="112">
        <f>Input!D76</f>
        <v>2083</v>
      </c>
      <c r="E65" s="112">
        <f>Input!E76</f>
        <v>1248</v>
      </c>
      <c r="F65" s="112">
        <f>Input!F76</f>
        <v>185</v>
      </c>
      <c r="G65" s="112">
        <f>Input!G76</f>
        <v>79</v>
      </c>
      <c r="H65" s="112">
        <f>Input!H76</f>
        <v>19</v>
      </c>
      <c r="I65" s="112">
        <f>Input!I76</f>
        <v>3</v>
      </c>
      <c r="J65" s="112">
        <f>Input!J76</f>
        <v>5</v>
      </c>
      <c r="K65" s="112">
        <f>Input!K76</f>
        <v>4</v>
      </c>
      <c r="L65" s="112">
        <f>Input!L76</f>
        <v>2</v>
      </c>
      <c r="M65" s="112">
        <f>Input!M76</f>
        <v>0</v>
      </c>
      <c r="N65" s="112">
        <f>Input!N76</f>
        <v>0</v>
      </c>
      <c r="O65" s="112">
        <f>Input!O76</f>
        <v>0</v>
      </c>
      <c r="P65" s="112">
        <f>Input!P76</f>
        <v>0</v>
      </c>
      <c r="Q65" s="112">
        <f>Input!Q76</f>
        <v>0</v>
      </c>
      <c r="R65" s="26" t="s">
        <v>555</v>
      </c>
      <c r="S65" s="89"/>
      <c r="T65" s="89"/>
      <c r="U65" s="89"/>
      <c r="V65" s="89">
        <f>SUM(E65:Q65)</f>
        <v>1545</v>
      </c>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28"/>
    </row>
    <row r="66" spans="1:96" s="8" customFormat="1" ht="15" hidden="1" customHeight="1" outlineLevel="1" x14ac:dyDescent="0.25">
      <c r="A66" s="89"/>
      <c r="B66" s="128" t="s">
        <v>17</v>
      </c>
      <c r="C66" s="75"/>
      <c r="D66" s="112">
        <f>Input!D77</f>
        <v>111</v>
      </c>
      <c r="E66" s="112">
        <f>Input!E77</f>
        <v>952</v>
      </c>
      <c r="F66" s="112">
        <f>Input!F77</f>
        <v>492</v>
      </c>
      <c r="G66" s="112">
        <f>Input!G77</f>
        <v>43</v>
      </c>
      <c r="H66" s="112">
        <f>Input!H77</f>
        <v>19</v>
      </c>
      <c r="I66" s="112">
        <f>Input!I77</f>
        <v>27</v>
      </c>
      <c r="J66" s="112">
        <f>Input!J77</f>
        <v>44</v>
      </c>
      <c r="K66" s="112">
        <f>Input!K77</f>
        <v>1</v>
      </c>
      <c r="L66" s="112">
        <f>Input!L77</f>
        <v>0</v>
      </c>
      <c r="M66" s="112">
        <f>Input!M77</f>
        <v>2</v>
      </c>
      <c r="N66" s="112">
        <f>Input!N77</f>
        <v>0</v>
      </c>
      <c r="O66" s="112">
        <f>Input!O77</f>
        <v>0</v>
      </c>
      <c r="P66" s="112">
        <f>Input!P77</f>
        <v>0</v>
      </c>
      <c r="Q66" s="112">
        <f>Input!Q77</f>
        <v>0</v>
      </c>
      <c r="R66" s="26" t="s">
        <v>556</v>
      </c>
      <c r="S66" s="89"/>
      <c r="T66" s="89"/>
      <c r="U66" s="89"/>
      <c r="V66" s="89">
        <f>SUM(F66:Q66)</f>
        <v>628</v>
      </c>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28"/>
    </row>
    <row r="67" spans="1:96" s="8" customFormat="1" ht="15" hidden="1" customHeight="1" outlineLevel="1" x14ac:dyDescent="0.25">
      <c r="A67" s="89"/>
      <c r="B67" s="128" t="s">
        <v>18</v>
      </c>
      <c r="C67" s="75"/>
      <c r="D67" s="112">
        <f>Input!D78</f>
        <v>29</v>
      </c>
      <c r="E67" s="112">
        <f>Input!E78</f>
        <v>120</v>
      </c>
      <c r="F67" s="112">
        <f>Input!F78</f>
        <v>436</v>
      </c>
      <c r="G67" s="112">
        <f>Input!G78</f>
        <v>197</v>
      </c>
      <c r="H67" s="112">
        <f>Input!H78</f>
        <v>14</v>
      </c>
      <c r="I67" s="112">
        <f>Input!I78</f>
        <v>21</v>
      </c>
      <c r="J67" s="112">
        <f>Input!J78</f>
        <v>27</v>
      </c>
      <c r="K67" s="112">
        <f>Input!K78</f>
        <v>1</v>
      </c>
      <c r="L67" s="112">
        <f>Input!L78</f>
        <v>0</v>
      </c>
      <c r="M67" s="112">
        <f>Input!M78</f>
        <v>0</v>
      </c>
      <c r="N67" s="112">
        <f>Input!N78</f>
        <v>0</v>
      </c>
      <c r="O67" s="112">
        <f>Input!O78</f>
        <v>0</v>
      </c>
      <c r="P67" s="112">
        <f>Input!P78</f>
        <v>0</v>
      </c>
      <c r="Q67" s="112">
        <f>Input!Q78</f>
        <v>0</v>
      </c>
      <c r="R67" s="26" t="s">
        <v>557</v>
      </c>
      <c r="S67" s="89"/>
      <c r="T67" s="89"/>
      <c r="U67" s="89"/>
      <c r="V67" s="89">
        <f>SUM(G67:Q67)</f>
        <v>260</v>
      </c>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28"/>
    </row>
    <row r="68" spans="1:96" s="8" customFormat="1" ht="15" hidden="1" customHeight="1" outlineLevel="1" x14ac:dyDescent="0.25">
      <c r="A68" s="89"/>
      <c r="B68" s="128" t="s">
        <v>19</v>
      </c>
      <c r="C68" s="75"/>
      <c r="D68" s="112">
        <f>Input!D79</f>
        <v>17</v>
      </c>
      <c r="E68" s="112">
        <f>Input!E79</f>
        <v>21</v>
      </c>
      <c r="F68" s="112">
        <f>Input!F79</f>
        <v>78</v>
      </c>
      <c r="G68" s="112">
        <f>Input!G79</f>
        <v>270</v>
      </c>
      <c r="H68" s="112">
        <f>Input!H79</f>
        <v>88</v>
      </c>
      <c r="I68" s="112">
        <f>Input!I79</f>
        <v>6</v>
      </c>
      <c r="J68" s="112">
        <f>Input!J79</f>
        <v>18</v>
      </c>
      <c r="K68" s="112">
        <f>Input!K79</f>
        <v>23</v>
      </c>
      <c r="L68" s="112">
        <f>Input!L79</f>
        <v>2</v>
      </c>
      <c r="M68" s="112">
        <f>Input!M79</f>
        <v>2</v>
      </c>
      <c r="N68" s="112">
        <f>Input!N79</f>
        <v>0</v>
      </c>
      <c r="O68" s="112">
        <f>Input!O79</f>
        <v>0</v>
      </c>
      <c r="P68" s="112">
        <f>Input!P79</f>
        <v>0</v>
      </c>
      <c r="Q68" s="112">
        <f>Input!Q79</f>
        <v>0</v>
      </c>
      <c r="R68" s="26" t="s">
        <v>558</v>
      </c>
      <c r="S68" s="89"/>
      <c r="T68" s="89"/>
      <c r="U68" s="89"/>
      <c r="V68" s="89">
        <f>SUM(H68:Q68)</f>
        <v>139</v>
      </c>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28"/>
    </row>
    <row r="69" spans="1:96" s="8" customFormat="1" ht="15" hidden="1" customHeight="1" outlineLevel="1" x14ac:dyDescent="0.25">
      <c r="A69" s="89"/>
      <c r="B69" s="128" t="s">
        <v>20</v>
      </c>
      <c r="C69" s="75"/>
      <c r="D69" s="112">
        <f>Input!D80</f>
        <v>11</v>
      </c>
      <c r="E69" s="112">
        <f>Input!E80</f>
        <v>7</v>
      </c>
      <c r="F69" s="112">
        <f>Input!F80</f>
        <v>10</v>
      </c>
      <c r="G69" s="112">
        <f>Input!G80</f>
        <v>129</v>
      </c>
      <c r="H69" s="112">
        <f>Input!H80</f>
        <v>183</v>
      </c>
      <c r="I69" s="112">
        <f>Input!I80</f>
        <v>151</v>
      </c>
      <c r="J69" s="112">
        <f>Input!J80</f>
        <v>25</v>
      </c>
      <c r="K69" s="112">
        <f>Input!K80</f>
        <v>1</v>
      </c>
      <c r="L69" s="112">
        <f>Input!L80</f>
        <v>3</v>
      </c>
      <c r="M69" s="112">
        <f>Input!M80</f>
        <v>13</v>
      </c>
      <c r="N69" s="112">
        <f>Input!N80</f>
        <v>0</v>
      </c>
      <c r="O69" s="112">
        <f>Input!O80</f>
        <v>0</v>
      </c>
      <c r="P69" s="112">
        <f>Input!P80</f>
        <v>0</v>
      </c>
      <c r="Q69" s="112">
        <f>Input!Q80</f>
        <v>0</v>
      </c>
      <c r="R69" s="26" t="s">
        <v>559</v>
      </c>
      <c r="S69" s="89"/>
      <c r="T69" s="89"/>
      <c r="U69" s="89"/>
      <c r="V69" s="89">
        <f>SUM(I69:Q69)</f>
        <v>193</v>
      </c>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28"/>
    </row>
    <row r="70" spans="1:96" s="4" customFormat="1" ht="15" hidden="1" customHeight="1" outlineLevel="1" x14ac:dyDescent="0.3">
      <c r="A70" s="93"/>
      <c r="B70" s="128" t="s">
        <v>21</v>
      </c>
      <c r="C70" s="75"/>
      <c r="D70" s="112">
        <f>Input!D81</f>
        <v>4</v>
      </c>
      <c r="E70" s="112">
        <f>Input!E81</f>
        <v>2</v>
      </c>
      <c r="F70" s="112">
        <f>Input!F81</f>
        <v>0</v>
      </c>
      <c r="G70" s="112">
        <f>Input!G81</f>
        <v>3</v>
      </c>
      <c r="H70" s="112">
        <f>Input!H81</f>
        <v>63</v>
      </c>
      <c r="I70" s="112">
        <f>Input!I81</f>
        <v>145</v>
      </c>
      <c r="J70" s="112">
        <f>Input!J81</f>
        <v>76</v>
      </c>
      <c r="K70" s="112">
        <f>Input!K81</f>
        <v>14</v>
      </c>
      <c r="L70" s="112">
        <f>Input!L81</f>
        <v>1</v>
      </c>
      <c r="M70" s="112">
        <f>Input!M81</f>
        <v>0</v>
      </c>
      <c r="N70" s="112">
        <f>Input!N81</f>
        <v>0</v>
      </c>
      <c r="O70" s="112">
        <f>Input!O81</f>
        <v>0</v>
      </c>
      <c r="P70" s="112">
        <f>Input!P81</f>
        <v>0</v>
      </c>
      <c r="Q70" s="112">
        <f>Input!Q81</f>
        <v>0</v>
      </c>
      <c r="R70" s="26" t="s">
        <v>560</v>
      </c>
      <c r="S70" s="93"/>
      <c r="T70" s="93"/>
      <c r="U70" s="93"/>
      <c r="V70" s="89">
        <f>SUM(J70:Q70)</f>
        <v>91</v>
      </c>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row>
    <row r="71" spans="1:96" s="4" customFormat="1" ht="15" hidden="1" customHeight="1" outlineLevel="1" x14ac:dyDescent="0.3">
      <c r="A71" s="95"/>
      <c r="B71" s="128" t="s">
        <v>22</v>
      </c>
      <c r="C71" s="75"/>
      <c r="D71" s="112">
        <f>Input!D82</f>
        <v>0</v>
      </c>
      <c r="E71" s="112">
        <f>Input!E82</f>
        <v>3</v>
      </c>
      <c r="F71" s="112">
        <f>Input!F82</f>
        <v>1</v>
      </c>
      <c r="G71" s="112">
        <f>Input!G82</f>
        <v>0</v>
      </c>
      <c r="H71" s="112">
        <f>Input!H82</f>
        <v>31</v>
      </c>
      <c r="I71" s="112">
        <f>Input!I82</f>
        <v>128</v>
      </c>
      <c r="J71" s="112">
        <f>Input!J82</f>
        <v>167</v>
      </c>
      <c r="K71" s="112">
        <f>Input!K82</f>
        <v>54</v>
      </c>
      <c r="L71" s="112">
        <f>Input!L82</f>
        <v>0</v>
      </c>
      <c r="M71" s="112">
        <f>Input!M82</f>
        <v>0</v>
      </c>
      <c r="N71" s="112">
        <f>Input!N82</f>
        <v>0</v>
      </c>
      <c r="O71" s="112">
        <f>Input!O82</f>
        <v>0</v>
      </c>
      <c r="P71" s="112">
        <f>Input!P82</f>
        <v>0</v>
      </c>
      <c r="Q71" s="112">
        <f>Input!Q82</f>
        <v>0</v>
      </c>
      <c r="R71" s="26" t="s">
        <v>561</v>
      </c>
      <c r="S71" s="93"/>
      <c r="T71" s="93"/>
      <c r="U71" s="93"/>
      <c r="V71" s="89">
        <f>SUM(K71:Q71)</f>
        <v>54</v>
      </c>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row>
    <row r="72" spans="1:96" s="4" customFormat="1" ht="15" hidden="1" customHeight="1" outlineLevel="1" x14ac:dyDescent="0.3">
      <c r="A72" s="96"/>
      <c r="B72" s="128" t="s">
        <v>23</v>
      </c>
      <c r="C72" s="75"/>
      <c r="D72" s="112">
        <f>Input!D83</f>
        <v>0</v>
      </c>
      <c r="E72" s="112">
        <f>Input!E83</f>
        <v>4</v>
      </c>
      <c r="F72" s="112">
        <f>Input!F83</f>
        <v>4</v>
      </c>
      <c r="G72" s="112">
        <f>Input!G83</f>
        <v>1</v>
      </c>
      <c r="H72" s="112">
        <f>Input!H83</f>
        <v>4</v>
      </c>
      <c r="I72" s="112">
        <f>Input!I83</f>
        <v>0</v>
      </c>
      <c r="J72" s="112">
        <f>Input!J83</f>
        <v>12</v>
      </c>
      <c r="K72" s="112">
        <f>Input!K83</f>
        <v>74</v>
      </c>
      <c r="L72" s="112">
        <f>Input!L83</f>
        <v>55</v>
      </c>
      <c r="M72" s="112">
        <f>Input!M83</f>
        <v>20</v>
      </c>
      <c r="N72" s="112">
        <f>Input!N83</f>
        <v>0</v>
      </c>
      <c r="O72" s="112">
        <f>Input!O83</f>
        <v>0</v>
      </c>
      <c r="P72" s="112">
        <f>Input!P83</f>
        <v>0</v>
      </c>
      <c r="Q72" s="112">
        <f>Input!Q83</f>
        <v>0</v>
      </c>
      <c r="R72" s="26" t="s">
        <v>562</v>
      </c>
      <c r="S72" s="93"/>
      <c r="T72" s="93"/>
      <c r="U72" s="93"/>
      <c r="V72" s="89">
        <f>SUM(L72:Q72)</f>
        <v>75</v>
      </c>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row>
    <row r="73" spans="1:96" s="8" customFormat="1" ht="15" hidden="1" customHeight="1" outlineLevel="1" x14ac:dyDescent="0.25">
      <c r="A73" s="89"/>
      <c r="B73" s="128" t="s">
        <v>24</v>
      </c>
      <c r="C73" s="75"/>
      <c r="D73" s="112">
        <f>Input!D84</f>
        <v>0</v>
      </c>
      <c r="E73" s="112">
        <f>Input!E84</f>
        <v>3</v>
      </c>
      <c r="F73" s="112">
        <f>Input!F84</f>
        <v>2</v>
      </c>
      <c r="G73" s="112">
        <f>Input!G84</f>
        <v>0</v>
      </c>
      <c r="H73" s="112">
        <f>Input!H84</f>
        <v>0</v>
      </c>
      <c r="I73" s="112">
        <f>Input!I84</f>
        <v>0</v>
      </c>
      <c r="J73" s="112">
        <f>Input!J84</f>
        <v>30</v>
      </c>
      <c r="K73" s="112">
        <f>Input!K84</f>
        <v>22</v>
      </c>
      <c r="L73" s="112">
        <f>Input!L84</f>
        <v>6</v>
      </c>
      <c r="M73" s="112">
        <f>Input!M84</f>
        <v>6</v>
      </c>
      <c r="N73" s="112">
        <f>Input!N84</f>
        <v>1</v>
      </c>
      <c r="O73" s="112">
        <f>Input!O84</f>
        <v>0</v>
      </c>
      <c r="P73" s="112">
        <f>Input!P84</f>
        <v>0</v>
      </c>
      <c r="Q73" s="112">
        <f>Input!Q84</f>
        <v>0</v>
      </c>
      <c r="R73" s="26" t="s">
        <v>563</v>
      </c>
      <c r="S73" s="89"/>
      <c r="T73" s="89"/>
      <c r="U73" s="89"/>
      <c r="V73" s="89">
        <f>SUM(M73:Q73)</f>
        <v>7</v>
      </c>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row>
    <row r="74" spans="1:96" s="8" customFormat="1" ht="15" hidden="1" customHeight="1" outlineLevel="1" x14ac:dyDescent="0.25">
      <c r="A74" s="89"/>
      <c r="B74" s="128" t="s">
        <v>25</v>
      </c>
      <c r="C74" s="75"/>
      <c r="D74" s="112">
        <f>Input!D85</f>
        <v>0</v>
      </c>
      <c r="E74" s="112">
        <f>Input!E85</f>
        <v>0</v>
      </c>
      <c r="F74" s="112">
        <f>Input!F85</f>
        <v>0</v>
      </c>
      <c r="G74" s="112">
        <f>Input!G85</f>
        <v>0</v>
      </c>
      <c r="H74" s="112">
        <f>Input!H85</f>
        <v>0</v>
      </c>
      <c r="I74" s="112">
        <f>Input!I85</f>
        <v>0</v>
      </c>
      <c r="J74" s="112">
        <f>Input!J85</f>
        <v>0</v>
      </c>
      <c r="K74" s="112">
        <f>Input!K85</f>
        <v>0</v>
      </c>
      <c r="L74" s="112">
        <f>Input!L85</f>
        <v>0</v>
      </c>
      <c r="M74" s="112">
        <f>Input!M85</f>
        <v>0</v>
      </c>
      <c r="N74" s="112">
        <f>Input!N85</f>
        <v>0</v>
      </c>
      <c r="O74" s="112">
        <f>Input!O85</f>
        <v>0</v>
      </c>
      <c r="P74" s="112">
        <f>Input!P85</f>
        <v>0</v>
      </c>
      <c r="Q74" s="112">
        <f>Input!Q85</f>
        <v>0</v>
      </c>
      <c r="R74" s="26" t="s">
        <v>564</v>
      </c>
      <c r="S74" s="89"/>
      <c r="T74" s="89"/>
      <c r="U74" s="89"/>
      <c r="V74" s="89">
        <f>SUM(N74:Q74)</f>
        <v>0</v>
      </c>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row>
    <row r="75" spans="1:96" s="8" customFormat="1" ht="15" hidden="1" customHeight="1" outlineLevel="1" x14ac:dyDescent="0.25">
      <c r="A75" s="89"/>
      <c r="B75" s="128" t="s">
        <v>26</v>
      </c>
      <c r="C75" s="75"/>
      <c r="D75" s="112">
        <f>Input!D86</f>
        <v>0</v>
      </c>
      <c r="E75" s="112">
        <f>Input!E86</f>
        <v>0</v>
      </c>
      <c r="F75" s="112">
        <f>Input!F86</f>
        <v>0</v>
      </c>
      <c r="G75" s="112">
        <f>Input!G86</f>
        <v>0</v>
      </c>
      <c r="H75" s="112">
        <f>Input!H86</f>
        <v>0</v>
      </c>
      <c r="I75" s="112">
        <f>Input!I86</f>
        <v>0</v>
      </c>
      <c r="J75" s="112">
        <f>Input!J86</f>
        <v>0</v>
      </c>
      <c r="K75" s="112">
        <f>Input!K86</f>
        <v>0</v>
      </c>
      <c r="L75" s="112">
        <f>Input!L86</f>
        <v>0</v>
      </c>
      <c r="M75" s="112">
        <f>Input!M86</f>
        <v>0</v>
      </c>
      <c r="N75" s="112">
        <f>Input!N86</f>
        <v>0</v>
      </c>
      <c r="O75" s="112">
        <f>Input!O86</f>
        <v>0</v>
      </c>
      <c r="P75" s="112">
        <f>Input!P86</f>
        <v>0</v>
      </c>
      <c r="Q75" s="112">
        <f>Input!Q86</f>
        <v>0</v>
      </c>
      <c r="R75" s="26" t="s">
        <v>565</v>
      </c>
      <c r="S75" s="89"/>
      <c r="T75" s="89"/>
      <c r="U75" s="89"/>
      <c r="V75" s="89">
        <f>SUM(O75:Q75)</f>
        <v>0</v>
      </c>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row>
    <row r="76" spans="1:96" s="8" customFormat="1" ht="15" hidden="1" customHeight="1" outlineLevel="1" x14ac:dyDescent="0.25">
      <c r="A76" s="89"/>
      <c r="B76" s="128" t="s">
        <v>27</v>
      </c>
      <c r="C76" s="75"/>
      <c r="D76" s="112">
        <f>Input!D87</f>
        <v>0</v>
      </c>
      <c r="E76" s="112">
        <f>Input!E87</f>
        <v>0</v>
      </c>
      <c r="F76" s="112">
        <f>Input!F87</f>
        <v>0</v>
      </c>
      <c r="G76" s="112">
        <f>Input!G87</f>
        <v>0</v>
      </c>
      <c r="H76" s="112">
        <f>Input!H87</f>
        <v>0</v>
      </c>
      <c r="I76" s="112">
        <f>Input!I87</f>
        <v>0</v>
      </c>
      <c r="J76" s="112">
        <f>Input!J87</f>
        <v>0</v>
      </c>
      <c r="K76" s="112">
        <f>Input!K87</f>
        <v>0</v>
      </c>
      <c r="L76" s="112">
        <f>Input!L87</f>
        <v>0</v>
      </c>
      <c r="M76" s="112">
        <f>Input!M87</f>
        <v>0</v>
      </c>
      <c r="N76" s="112">
        <f>Input!N87</f>
        <v>0</v>
      </c>
      <c r="O76" s="112">
        <f>Input!O87</f>
        <v>0</v>
      </c>
      <c r="P76" s="112">
        <f>Input!P87</f>
        <v>0</v>
      </c>
      <c r="Q76" s="112">
        <f>Input!Q87</f>
        <v>0</v>
      </c>
      <c r="R76" s="26" t="s">
        <v>566</v>
      </c>
      <c r="S76" s="89"/>
      <c r="T76" s="89"/>
      <c r="U76" s="89"/>
      <c r="V76" s="89">
        <f>SUM(P76:Q76)</f>
        <v>0</v>
      </c>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row>
    <row r="77" spans="1:96" s="34" customFormat="1" ht="15" hidden="1" customHeight="1" outlineLevel="1" x14ac:dyDescent="0.25">
      <c r="A77" s="9"/>
      <c r="B77" s="128" t="s">
        <v>28</v>
      </c>
      <c r="C77" s="75"/>
      <c r="D77" s="112">
        <f>Input!D88</f>
        <v>0</v>
      </c>
      <c r="E77" s="112">
        <f>Input!E88</f>
        <v>0</v>
      </c>
      <c r="F77" s="112">
        <f>Input!F88</f>
        <v>0</v>
      </c>
      <c r="G77" s="112">
        <f>Input!G88</f>
        <v>0</v>
      </c>
      <c r="H77" s="112">
        <f>Input!H88</f>
        <v>0</v>
      </c>
      <c r="I77" s="112">
        <f>Input!I88</f>
        <v>0</v>
      </c>
      <c r="J77" s="112">
        <f>Input!J88</f>
        <v>0</v>
      </c>
      <c r="K77" s="112">
        <f>Input!K88</f>
        <v>0</v>
      </c>
      <c r="L77" s="112">
        <f>Input!L88</f>
        <v>0</v>
      </c>
      <c r="M77" s="112">
        <f>Input!M88</f>
        <v>0</v>
      </c>
      <c r="N77" s="112">
        <f>Input!N88</f>
        <v>0</v>
      </c>
      <c r="O77" s="112">
        <f>Input!O88</f>
        <v>0</v>
      </c>
      <c r="P77" s="112">
        <f>Input!P88</f>
        <v>0</v>
      </c>
      <c r="Q77" s="112">
        <f>Input!Q88</f>
        <v>0</v>
      </c>
      <c r="R77" s="26" t="s">
        <v>567</v>
      </c>
      <c r="S77" s="9"/>
      <c r="T77" s="9"/>
      <c r="U77" s="9"/>
      <c r="V77" s="89">
        <f>SUM(Q77)</f>
        <v>0</v>
      </c>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row>
    <row r="78" spans="1:96" s="9" customFormat="1" ht="15" hidden="1" customHeight="1" outlineLevel="1" x14ac:dyDescent="0.25">
      <c r="B78" s="128" t="s">
        <v>29</v>
      </c>
      <c r="C78" s="75"/>
      <c r="D78" s="112">
        <f>Input!D89</f>
        <v>0</v>
      </c>
      <c r="E78" s="112">
        <f>Input!E89</f>
        <v>0</v>
      </c>
      <c r="F78" s="112">
        <f>Input!F89</f>
        <v>0</v>
      </c>
      <c r="G78" s="112">
        <f>Input!G89</f>
        <v>0</v>
      </c>
      <c r="H78" s="112">
        <f>Input!H89</f>
        <v>0</v>
      </c>
      <c r="I78" s="112">
        <f>Input!I89</f>
        <v>0</v>
      </c>
      <c r="J78" s="112">
        <f>Input!J89</f>
        <v>0</v>
      </c>
      <c r="K78" s="112">
        <f>Input!K89</f>
        <v>0</v>
      </c>
      <c r="L78" s="112">
        <f>Input!L89</f>
        <v>0</v>
      </c>
      <c r="M78" s="112">
        <f>Input!M89</f>
        <v>0</v>
      </c>
      <c r="N78" s="112">
        <f>Input!N89</f>
        <v>0</v>
      </c>
      <c r="O78" s="112">
        <f>Input!O89</f>
        <v>0</v>
      </c>
      <c r="P78" s="112">
        <f>Input!P89</f>
        <v>0</v>
      </c>
      <c r="Q78" s="112">
        <f>Input!Q89</f>
        <v>0</v>
      </c>
      <c r="R78" s="26" t="s">
        <v>568</v>
      </c>
    </row>
    <row r="79" spans="1:96" s="9" customFormat="1" ht="15" hidden="1" customHeight="1" outlineLevel="1" x14ac:dyDescent="0.25">
      <c r="B79" s="178"/>
      <c r="C79" s="93"/>
      <c r="D79" s="179"/>
      <c r="E79" s="179"/>
      <c r="F79" s="179"/>
      <c r="G79" s="179"/>
      <c r="H79" s="179"/>
      <c r="I79" s="179"/>
      <c r="J79" s="179"/>
      <c r="K79" s="179"/>
      <c r="L79" s="179"/>
      <c r="M79" s="179"/>
      <c r="N79" s="179"/>
      <c r="O79" s="179"/>
      <c r="P79" s="179"/>
      <c r="Q79" s="179"/>
      <c r="R79" s="26"/>
    </row>
    <row r="80" spans="1:96" s="9" customFormat="1" ht="15" hidden="1" customHeight="1" outlineLevel="1" x14ac:dyDescent="0.25">
      <c r="B80" s="180" t="s">
        <v>819</v>
      </c>
      <c r="C80" s="93"/>
      <c r="D80" s="179">
        <f>SUM(D66:D78)</f>
        <v>172</v>
      </c>
      <c r="E80" s="179">
        <f>SUM(E67:E78)</f>
        <v>160</v>
      </c>
      <c r="F80" s="179">
        <f>SUM(F68:F78)</f>
        <v>95</v>
      </c>
      <c r="G80" s="179">
        <f>SUM(G69:G78)</f>
        <v>133</v>
      </c>
      <c r="H80" s="179">
        <f>SUM(H70:H78)</f>
        <v>98</v>
      </c>
      <c r="I80" s="179">
        <f>SUM(I71:I78)</f>
        <v>128</v>
      </c>
      <c r="J80" s="179">
        <f>SUM(J72:J78)</f>
        <v>42</v>
      </c>
      <c r="K80" s="179">
        <f>SUM(K73:K78)</f>
        <v>22</v>
      </c>
      <c r="L80" s="179">
        <f>SUM(L74:L78)</f>
        <v>0</v>
      </c>
      <c r="M80" s="179">
        <f>SUM(M75:M78)</f>
        <v>0</v>
      </c>
      <c r="N80" s="179">
        <f>SUM(N76:N78)</f>
        <v>0</v>
      </c>
      <c r="O80" s="179">
        <f>SUM(O77:O78)</f>
        <v>0</v>
      </c>
      <c r="P80" s="179">
        <f>SUM(P78)</f>
        <v>0</v>
      </c>
      <c r="Q80" s="179">
        <f t="shared" ref="Q80" si="0">SUM(Q76:Q78)</f>
        <v>0</v>
      </c>
      <c r="R80" s="26" t="s">
        <v>823</v>
      </c>
    </row>
    <row r="81" spans="1:95" s="9" customFormat="1" ht="15" hidden="1" customHeight="1" outlineLevel="1" x14ac:dyDescent="0.25">
      <c r="B81" s="178"/>
      <c r="C81" s="93"/>
      <c r="D81" s="179"/>
      <c r="E81" s="179"/>
      <c r="F81" s="179"/>
      <c r="G81" s="179"/>
      <c r="H81" s="179"/>
      <c r="I81" s="179"/>
      <c r="J81" s="179"/>
      <c r="K81" s="179"/>
      <c r="L81" s="179"/>
      <c r="M81" s="179"/>
      <c r="N81" s="179"/>
      <c r="O81" s="179"/>
      <c r="P81" s="179"/>
      <c r="Q81" s="179"/>
      <c r="R81" s="26"/>
    </row>
    <row r="82" spans="1:95" s="9" customFormat="1" ht="15" hidden="1" customHeight="1" outlineLevel="1" x14ac:dyDescent="0.25">
      <c r="B82" s="180" t="s">
        <v>815</v>
      </c>
      <c r="C82" s="93"/>
      <c r="D82" s="179">
        <f>SUM(Forecast_HH_increased_noise_day)</f>
        <v>4228</v>
      </c>
      <c r="E82" s="183" t="s">
        <v>829</v>
      </c>
      <c r="F82" s="179"/>
      <c r="G82" s="179"/>
      <c r="H82" s="179"/>
      <c r="I82" s="179"/>
      <c r="J82" s="179"/>
      <c r="K82" s="179"/>
      <c r="L82" s="179"/>
      <c r="M82" s="179"/>
      <c r="N82" s="179"/>
      <c r="O82" s="179"/>
      <c r="P82" s="179"/>
      <c r="Q82" s="179"/>
      <c r="R82" s="26"/>
    </row>
    <row r="83" spans="1:95" s="9" customFormat="1" ht="15" hidden="1" customHeight="1" outlineLevel="1" x14ac:dyDescent="0.25">
      <c r="B83" s="180" t="s">
        <v>816</v>
      </c>
      <c r="C83" s="93"/>
      <c r="D83" s="179">
        <f>SUM(Forecast_HH_decreased_noise_day)</f>
        <v>317</v>
      </c>
      <c r="E83" s="183" t="s">
        <v>830</v>
      </c>
      <c r="F83" s="179"/>
      <c r="G83" s="179"/>
      <c r="H83" s="179"/>
      <c r="I83" s="179"/>
      <c r="J83" s="179"/>
      <c r="K83" s="179"/>
      <c r="L83" s="179"/>
      <c r="M83" s="179"/>
      <c r="N83" s="179"/>
      <c r="O83" s="179"/>
      <c r="P83" s="179"/>
      <c r="Q83" s="179"/>
      <c r="R83" s="26"/>
    </row>
    <row r="84" spans="1:95" s="9" customFormat="1" ht="15" hidden="1" customHeight="1" outlineLevel="1" x14ac:dyDescent="0.25">
      <c r="B84" s="180" t="s">
        <v>817</v>
      </c>
      <c r="C84" s="93"/>
      <c r="D84" s="182">
        <f>IF(Night_modelling_mask=0,"n/a",SUM(Forecast_HH_increased_noise_night))</f>
        <v>2992</v>
      </c>
      <c r="E84" s="183" t="s">
        <v>831</v>
      </c>
      <c r="F84" s="179"/>
      <c r="G84" s="179"/>
      <c r="H84" s="179"/>
      <c r="I84" s="179"/>
      <c r="J84" s="179"/>
      <c r="K84" s="179"/>
      <c r="L84" s="179"/>
      <c r="M84" s="179"/>
      <c r="N84" s="179"/>
      <c r="O84" s="179"/>
      <c r="P84" s="179"/>
      <c r="Q84" s="179"/>
      <c r="R84" s="26"/>
    </row>
    <row r="85" spans="1:95" s="9" customFormat="1" ht="15" hidden="1" customHeight="1" outlineLevel="1" x14ac:dyDescent="0.25">
      <c r="B85" s="180" t="s">
        <v>818</v>
      </c>
      <c r="C85" s="93"/>
      <c r="D85" s="182">
        <f>IF(Night_modelling_mask=0,"n/a",SUM(Forecast_HH_decreased_noise_night))</f>
        <v>850</v>
      </c>
      <c r="E85" s="183" t="s">
        <v>832</v>
      </c>
      <c r="F85" s="179"/>
      <c r="G85" s="179"/>
      <c r="H85" s="179"/>
      <c r="I85" s="179"/>
      <c r="J85" s="179"/>
      <c r="K85" s="179"/>
      <c r="L85" s="179"/>
      <c r="M85" s="179"/>
      <c r="N85" s="179"/>
      <c r="O85" s="179"/>
      <c r="P85" s="179"/>
      <c r="Q85" s="179"/>
      <c r="R85" s="26"/>
    </row>
    <row r="86" spans="1:95" s="8" customFormat="1" ht="15" hidden="1" customHeight="1" outlineLevel="1" x14ac:dyDescent="0.25">
      <c r="A86" s="131"/>
      <c r="B86" s="131"/>
      <c r="C86" s="131"/>
      <c r="D86" s="131"/>
      <c r="E86" s="131"/>
      <c r="F86" s="131"/>
      <c r="G86" s="131"/>
      <c r="H86" s="131"/>
      <c r="I86" s="131"/>
      <c r="J86" s="131"/>
      <c r="K86" s="131"/>
      <c r="L86" s="131"/>
      <c r="M86" s="131"/>
      <c r="N86" s="131"/>
      <c r="O86" s="131"/>
      <c r="P86" s="131"/>
      <c r="Q86" s="131"/>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row>
    <row r="87" spans="1:95" s="2" customFormat="1" ht="18.75" collapsed="1" x14ac:dyDescent="0.3">
      <c r="B87" s="2" t="s">
        <v>101</v>
      </c>
    </row>
    <row r="88" spans="1:95" s="4" customFormat="1" ht="15" customHeight="1" x14ac:dyDescent="0.3">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row>
    <row r="89" spans="1:95" s="4" customFormat="1" ht="15" hidden="1" customHeight="1" outlineLevel="1" x14ac:dyDescent="0.3">
      <c r="A89" s="93"/>
      <c r="B89" s="131" t="s">
        <v>103</v>
      </c>
      <c r="C89" s="16" t="str">
        <f>Scheme_type_in</f>
        <v>road</v>
      </c>
      <c r="D89" s="3" t="s">
        <v>8</v>
      </c>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row>
    <row r="90" spans="1:95" s="4" customFormat="1" ht="15" hidden="1" customHeight="1" outlineLevel="1" x14ac:dyDescent="0.3">
      <c r="A90" s="93"/>
      <c r="B90" s="131"/>
      <c r="C90" s="16"/>
      <c r="D90" s="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row>
    <row r="91" spans="1:95" s="4" customFormat="1" ht="15" hidden="1" customHeight="1" outlineLevel="1" x14ac:dyDescent="0.3">
      <c r="A91" s="93"/>
      <c r="B91" s="131" t="s">
        <v>62</v>
      </c>
      <c r="C91" s="16">
        <f>(Scheme_type="Road")*1</f>
        <v>1</v>
      </c>
      <c r="D91" s="3" t="s">
        <v>105</v>
      </c>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row>
    <row r="92" spans="1:95" s="4" customFormat="1" ht="15" hidden="1" customHeight="1" outlineLevel="1" x14ac:dyDescent="0.3">
      <c r="A92" s="93"/>
      <c r="B92" s="131" t="s">
        <v>71</v>
      </c>
      <c r="C92" s="16">
        <f>(Scheme_type="Rail")*1</f>
        <v>0</v>
      </c>
      <c r="D92" s="3" t="s">
        <v>102</v>
      </c>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row>
    <row r="93" spans="1:95" s="4" customFormat="1" ht="15" hidden="1" customHeight="1" outlineLevel="1" x14ac:dyDescent="0.3">
      <c r="A93" s="93"/>
      <c r="B93" s="131" t="s">
        <v>72</v>
      </c>
      <c r="C93" s="16">
        <f>(Scheme_type="Aviation")*1</f>
        <v>0</v>
      </c>
      <c r="D93" s="3" t="s">
        <v>106</v>
      </c>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row>
    <row r="94" spans="1:95" s="4" customFormat="1" ht="15" hidden="1" customHeight="1" outlineLevel="1" x14ac:dyDescent="0.3">
      <c r="A94" s="93"/>
      <c r="B94" s="131"/>
      <c r="C94" s="16"/>
      <c r="D94" s="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row>
    <row r="95" spans="1:95" ht="15" hidden="1" customHeight="1" outlineLevel="1" x14ac:dyDescent="0.25">
      <c r="A95" s="131"/>
      <c r="B95" s="131" t="s">
        <v>581</v>
      </c>
      <c r="C95" s="155" t="str">
        <f>Night_noise_impact_in</f>
        <v>yes</v>
      </c>
      <c r="D95" s="3" t="s">
        <v>580</v>
      </c>
      <c r="E95" s="3"/>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row>
    <row r="96" spans="1:95" ht="15" hidden="1" customHeight="1" outlineLevel="1" x14ac:dyDescent="0.25">
      <c r="A96" s="131"/>
      <c r="B96" s="131"/>
      <c r="C96" s="155"/>
      <c r="D96" s="3"/>
      <c r="E96" s="3"/>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row>
    <row r="97" spans="1:95" ht="15" hidden="1" customHeight="1" outlineLevel="1" x14ac:dyDescent="0.25">
      <c r="A97" s="131"/>
      <c r="B97" s="131" t="s">
        <v>583</v>
      </c>
      <c r="C97" s="16">
        <f>(Night_noise_impact="yes")*1</f>
        <v>1</v>
      </c>
      <c r="D97" s="3" t="s">
        <v>585</v>
      </c>
      <c r="E97" s="3"/>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row>
    <row r="98" spans="1:95" ht="15" hidden="1" customHeight="1" outlineLevel="1" x14ac:dyDescent="0.25">
      <c r="A98" s="131"/>
      <c r="B98" s="131" t="s">
        <v>584</v>
      </c>
      <c r="C98" s="16">
        <f>(Night_noise_impact="no")*1</f>
        <v>0</v>
      </c>
      <c r="D98" s="3" t="s">
        <v>586</v>
      </c>
      <c r="E98" s="3"/>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row>
    <row r="99" spans="1:95" ht="15" hidden="1" customHeight="1" outlineLevel="1" x14ac:dyDescent="0.25">
      <c r="A99" s="131"/>
      <c r="B99" s="131"/>
      <c r="C99" s="16"/>
      <c r="D99" s="3"/>
      <c r="E99" s="3"/>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row>
    <row r="100" spans="1:95" ht="15" hidden="1" customHeight="1" outlineLevel="1" x14ac:dyDescent="0.25">
      <c r="A100" s="131"/>
      <c r="B100" s="131" t="s">
        <v>569</v>
      </c>
      <c r="C100" s="155" t="str">
        <f>Night_noise_modelling_in</f>
        <v>yes</v>
      </c>
      <c r="D100" s="3" t="s">
        <v>570</v>
      </c>
      <c r="E100" s="3"/>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row>
    <row r="101" spans="1:95" ht="15" hidden="1" customHeight="1" outlineLevel="1" x14ac:dyDescent="0.25">
      <c r="A101" s="131"/>
      <c r="B101" s="131"/>
      <c r="C101" s="149"/>
      <c r="D101" s="3"/>
      <c r="E101" s="3"/>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row>
    <row r="102" spans="1:95" ht="15" hidden="1" customHeight="1" outlineLevel="1" x14ac:dyDescent="0.25">
      <c r="A102" s="131"/>
      <c r="B102" s="131" t="s">
        <v>572</v>
      </c>
      <c r="C102" s="16">
        <f>(Night_noise_modelling="yes")*1</f>
        <v>1</v>
      </c>
      <c r="D102" s="3" t="s">
        <v>587</v>
      </c>
      <c r="E102" s="3"/>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row>
    <row r="103" spans="1:95" ht="15" hidden="1" customHeight="1" outlineLevel="1" x14ac:dyDescent="0.25">
      <c r="A103" s="131"/>
      <c r="B103" s="131" t="s">
        <v>573</v>
      </c>
      <c r="C103" s="16">
        <f>(Night_noise_modelling="no")*1</f>
        <v>0</v>
      </c>
      <c r="D103" s="3" t="s">
        <v>588</v>
      </c>
      <c r="E103" s="3"/>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row>
    <row r="104" spans="1:95" s="4" customFormat="1" ht="15" hidden="1" customHeight="1" outlineLevel="1" x14ac:dyDescent="0.3">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row>
    <row r="105" spans="1:95" s="10" customFormat="1" ht="15.75" hidden="1" outlineLevel="1" x14ac:dyDescent="0.25">
      <c r="B105" s="11" t="s">
        <v>65</v>
      </c>
      <c r="C105" s="12"/>
      <c r="D105" s="13"/>
      <c r="E105" s="13"/>
    </row>
    <row r="106" spans="1:95" ht="15" hidden="1" customHeight="1" outlineLevel="1" x14ac:dyDescent="0.25">
      <c r="A106" s="131"/>
      <c r="B106" s="131"/>
      <c r="C106" s="155"/>
      <c r="D106" s="3"/>
      <c r="E106" s="3"/>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row>
    <row r="107" spans="1:95" ht="15" hidden="1" customHeight="1" outlineLevel="2" x14ac:dyDescent="0.25">
      <c r="A107" s="131"/>
      <c r="B107" s="191" t="s">
        <v>656</v>
      </c>
      <c r="C107" s="131"/>
      <c r="D107" s="17" t="s">
        <v>64</v>
      </c>
      <c r="E107" s="18">
        <v>45</v>
      </c>
      <c r="F107" s="19">
        <v>46</v>
      </c>
      <c r="G107" s="18">
        <v>47</v>
      </c>
      <c r="H107" s="19">
        <v>48</v>
      </c>
      <c r="I107" s="18">
        <v>49</v>
      </c>
      <c r="J107" s="19">
        <v>50</v>
      </c>
      <c r="K107" s="18">
        <v>51</v>
      </c>
      <c r="L107" s="19">
        <v>52</v>
      </c>
      <c r="M107" s="18">
        <v>53</v>
      </c>
      <c r="N107" s="19">
        <v>54</v>
      </c>
      <c r="O107" s="18">
        <v>55</v>
      </c>
      <c r="P107" s="19">
        <v>56</v>
      </c>
      <c r="Q107" s="18">
        <v>57</v>
      </c>
      <c r="R107" s="19">
        <v>58</v>
      </c>
      <c r="S107" s="18">
        <v>59</v>
      </c>
      <c r="T107" s="19">
        <v>60</v>
      </c>
      <c r="U107" s="18">
        <v>61</v>
      </c>
      <c r="V107" s="19">
        <v>62</v>
      </c>
      <c r="W107" s="18">
        <v>63</v>
      </c>
      <c r="X107" s="19">
        <v>64</v>
      </c>
      <c r="Y107" s="18">
        <v>65</v>
      </c>
      <c r="Z107" s="19">
        <v>66</v>
      </c>
      <c r="AA107" s="18">
        <v>67</v>
      </c>
      <c r="AB107" s="19">
        <v>68</v>
      </c>
      <c r="AC107" s="18">
        <v>69</v>
      </c>
      <c r="AD107" s="19">
        <v>70</v>
      </c>
      <c r="AE107" s="18">
        <v>71</v>
      </c>
      <c r="AF107" s="19">
        <v>72</v>
      </c>
      <c r="AG107" s="18">
        <v>73</v>
      </c>
      <c r="AH107" s="19">
        <v>74</v>
      </c>
      <c r="AI107" s="18">
        <v>75</v>
      </c>
      <c r="AJ107" s="19">
        <v>76</v>
      </c>
      <c r="AK107" s="18">
        <v>77</v>
      </c>
      <c r="AL107" s="19">
        <v>78</v>
      </c>
      <c r="AM107" s="18">
        <v>79</v>
      </c>
      <c r="AN107" s="19">
        <v>80</v>
      </c>
      <c r="AO107" s="18">
        <v>81</v>
      </c>
      <c r="AP107" s="19">
        <v>82</v>
      </c>
      <c r="AQ107" s="18">
        <v>83</v>
      </c>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row>
    <row r="108" spans="1:95" ht="15" hidden="1" customHeight="1" outlineLevel="2" x14ac:dyDescent="0.25">
      <c r="A108" s="131"/>
      <c r="B108" s="191"/>
      <c r="C108" s="147" t="s">
        <v>486</v>
      </c>
      <c r="D108" s="17">
        <v>45</v>
      </c>
      <c r="E108" s="18">
        <v>46</v>
      </c>
      <c r="F108" s="17">
        <v>47</v>
      </c>
      <c r="G108" s="18">
        <v>48</v>
      </c>
      <c r="H108" s="17">
        <v>49</v>
      </c>
      <c r="I108" s="18">
        <v>50</v>
      </c>
      <c r="J108" s="17">
        <v>51</v>
      </c>
      <c r="K108" s="18">
        <v>52</v>
      </c>
      <c r="L108" s="17">
        <v>53</v>
      </c>
      <c r="M108" s="18">
        <v>54</v>
      </c>
      <c r="N108" s="17">
        <v>55</v>
      </c>
      <c r="O108" s="18">
        <v>56</v>
      </c>
      <c r="P108" s="17">
        <v>57</v>
      </c>
      <c r="Q108" s="18">
        <v>58</v>
      </c>
      <c r="R108" s="17">
        <v>59</v>
      </c>
      <c r="S108" s="18">
        <v>60</v>
      </c>
      <c r="T108" s="17">
        <v>61</v>
      </c>
      <c r="U108" s="18">
        <v>62</v>
      </c>
      <c r="V108" s="17">
        <v>63</v>
      </c>
      <c r="W108" s="18">
        <v>64</v>
      </c>
      <c r="X108" s="17">
        <v>65</v>
      </c>
      <c r="Y108" s="18">
        <v>66</v>
      </c>
      <c r="Z108" s="17">
        <v>67</v>
      </c>
      <c r="AA108" s="18">
        <v>68</v>
      </c>
      <c r="AB108" s="17">
        <v>69</v>
      </c>
      <c r="AC108" s="18">
        <v>70</v>
      </c>
      <c r="AD108" s="17">
        <v>71</v>
      </c>
      <c r="AE108" s="18">
        <v>72</v>
      </c>
      <c r="AF108" s="17">
        <v>73</v>
      </c>
      <c r="AG108" s="18">
        <v>74</v>
      </c>
      <c r="AH108" s="17">
        <v>75</v>
      </c>
      <c r="AI108" s="18">
        <v>76</v>
      </c>
      <c r="AJ108" s="17">
        <v>77</v>
      </c>
      <c r="AK108" s="18">
        <v>78</v>
      </c>
      <c r="AL108" s="17">
        <v>79</v>
      </c>
      <c r="AM108" s="18">
        <v>80</v>
      </c>
      <c r="AN108" s="17">
        <v>81</v>
      </c>
      <c r="AO108" s="18">
        <v>82</v>
      </c>
      <c r="AP108" s="17">
        <v>83</v>
      </c>
      <c r="AQ108" s="18">
        <v>84</v>
      </c>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row>
    <row r="109" spans="1:95" ht="15" hidden="1" customHeight="1" outlineLevel="2" x14ac:dyDescent="0.25">
      <c r="A109" s="131"/>
      <c r="B109" s="131" t="s">
        <v>652</v>
      </c>
      <c r="C109" s="131">
        <f>Road_mask*Night_impact_mask*Night_modelling_mask</f>
        <v>1</v>
      </c>
      <c r="D109" s="148">
        <f t="shared" ref="D109:AQ109" si="1">Sleep_disturbance_values_road_1dB_night_in</f>
        <v>0</v>
      </c>
      <c r="E109" s="148">
        <f t="shared" si="1"/>
        <v>26.082650555430003</v>
      </c>
      <c r="F109" s="148">
        <f t="shared" si="1"/>
        <v>28.647251807688331</v>
      </c>
      <c r="G109" s="148">
        <f t="shared" si="1"/>
        <v>31.211853059944815</v>
      </c>
      <c r="H109" s="148">
        <f t="shared" si="1"/>
        <v>33.776454312203441</v>
      </c>
      <c r="I109" s="148">
        <f t="shared" si="1"/>
        <v>36.341055564460845</v>
      </c>
      <c r="J109" s="148">
        <f t="shared" si="1"/>
        <v>38.905656816718555</v>
      </c>
      <c r="K109" s="148">
        <f t="shared" si="1"/>
        <v>41.470258068976271</v>
      </c>
      <c r="L109" s="148">
        <f t="shared" si="1"/>
        <v>44.034859321232453</v>
      </c>
      <c r="M109" s="148">
        <f t="shared" si="1"/>
        <v>46.599460573491697</v>
      </c>
      <c r="N109" s="148">
        <f t="shared" si="1"/>
        <v>49.164061825749101</v>
      </c>
      <c r="O109" s="148">
        <f t="shared" si="1"/>
        <v>51.728663078006512</v>
      </c>
      <c r="P109" s="148">
        <f t="shared" si="1"/>
        <v>54.29326433026452</v>
      </c>
      <c r="Q109" s="148">
        <f t="shared" si="1"/>
        <v>56.857865582520702</v>
      </c>
      <c r="R109" s="148">
        <f t="shared" si="1"/>
        <v>59.422466834779335</v>
      </c>
      <c r="S109" s="148">
        <f t="shared" si="1"/>
        <v>61.987068087037343</v>
      </c>
      <c r="T109" s="148">
        <f t="shared" si="1"/>
        <v>64.551669339294762</v>
      </c>
      <c r="U109" s="148">
        <f t="shared" si="1"/>
        <v>67.116270591550915</v>
      </c>
      <c r="V109" s="148">
        <f t="shared" si="1"/>
        <v>69.680871843810181</v>
      </c>
      <c r="W109" s="148">
        <f t="shared" si="1"/>
        <v>72.245473096067585</v>
      </c>
      <c r="X109" s="148">
        <f t="shared" si="1"/>
        <v>74.81007434832496</v>
      </c>
      <c r="Y109" s="148">
        <f t="shared" si="1"/>
        <v>77.374675600583004</v>
      </c>
      <c r="Z109" s="148">
        <f t="shared" si="1"/>
        <v>77.374675600583004</v>
      </c>
      <c r="AA109" s="148">
        <f t="shared" si="1"/>
        <v>77.374675600583004</v>
      </c>
      <c r="AB109" s="148">
        <f t="shared" si="1"/>
        <v>77.374675600583004</v>
      </c>
      <c r="AC109" s="148">
        <f t="shared" si="1"/>
        <v>77.374675600583004</v>
      </c>
      <c r="AD109" s="148">
        <f t="shared" si="1"/>
        <v>77.374675600583004</v>
      </c>
      <c r="AE109" s="148">
        <f t="shared" si="1"/>
        <v>77.374675600583004</v>
      </c>
      <c r="AF109" s="148">
        <f t="shared" si="1"/>
        <v>77.374675600583004</v>
      </c>
      <c r="AG109" s="148">
        <f t="shared" si="1"/>
        <v>77.374675600583004</v>
      </c>
      <c r="AH109" s="148">
        <f t="shared" si="1"/>
        <v>77.374675600583004</v>
      </c>
      <c r="AI109" s="148">
        <f t="shared" si="1"/>
        <v>77.374675600583004</v>
      </c>
      <c r="AJ109" s="148">
        <f t="shared" si="1"/>
        <v>77.374675600583004</v>
      </c>
      <c r="AK109" s="148">
        <f t="shared" si="1"/>
        <v>77.374675600583004</v>
      </c>
      <c r="AL109" s="148">
        <f t="shared" si="1"/>
        <v>77.374675600583004</v>
      </c>
      <c r="AM109" s="148">
        <f t="shared" si="1"/>
        <v>77.374675600583004</v>
      </c>
      <c r="AN109" s="148">
        <f t="shared" si="1"/>
        <v>77.374675600583004</v>
      </c>
      <c r="AO109" s="148">
        <f t="shared" si="1"/>
        <v>77.374675600583004</v>
      </c>
      <c r="AP109" s="148">
        <f t="shared" si="1"/>
        <v>77.374675600583004</v>
      </c>
      <c r="AQ109" s="148">
        <f t="shared" si="1"/>
        <v>77.374675600583004</v>
      </c>
      <c r="AR109" s="3" t="s">
        <v>595</v>
      </c>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row>
    <row r="110" spans="1:95" ht="15" hidden="1" customHeight="1" outlineLevel="2" x14ac:dyDescent="0.25">
      <c r="A110" s="131"/>
      <c r="B110" s="131" t="s">
        <v>653</v>
      </c>
      <c r="C110" s="149">
        <f>Rail_mask*Night_impact_mask*Night_modelling_mask</f>
        <v>0</v>
      </c>
      <c r="D110" s="148">
        <f t="shared" ref="D110:AQ110" si="2">Sleep_disturbance_values_rail_1dB_night_in</f>
        <v>0</v>
      </c>
      <c r="E110" s="148">
        <f t="shared" si="2"/>
        <v>12.140435739573592</v>
      </c>
      <c r="F110" s="148">
        <f t="shared" si="2"/>
        <v>13.450349838135779</v>
      </c>
      <c r="G110" s="148">
        <f t="shared" si="2"/>
        <v>14.760263936698125</v>
      </c>
      <c r="H110" s="148">
        <f t="shared" si="2"/>
        <v>16.070178035260163</v>
      </c>
      <c r="I110" s="148">
        <f t="shared" si="2"/>
        <v>17.380092133822508</v>
      </c>
      <c r="J110" s="148">
        <f t="shared" si="2"/>
        <v>18.690006232385155</v>
      </c>
      <c r="K110" s="148">
        <f t="shared" si="2"/>
        <v>19.999920330946885</v>
      </c>
      <c r="L110" s="148">
        <f t="shared" si="2"/>
        <v>21.309834429509539</v>
      </c>
      <c r="M110" s="148">
        <f t="shared" si="2"/>
        <v>22.619748528071572</v>
      </c>
      <c r="N110" s="148">
        <f t="shared" si="2"/>
        <v>23.929662626633611</v>
      </c>
      <c r="O110" s="148">
        <f t="shared" si="2"/>
        <v>25.239576725196265</v>
      </c>
      <c r="P110" s="148">
        <f t="shared" si="2"/>
        <v>26.5494908237586</v>
      </c>
      <c r="Q110" s="148">
        <f t="shared" si="2"/>
        <v>27.859404922320639</v>
      </c>
      <c r="R110" s="148">
        <f t="shared" si="2"/>
        <v>29.169319020882984</v>
      </c>
      <c r="S110" s="148">
        <f t="shared" si="2"/>
        <v>30.479233119445635</v>
      </c>
      <c r="T110" s="148">
        <f t="shared" si="2"/>
        <v>31.789147218007056</v>
      </c>
      <c r="U110" s="148">
        <f t="shared" si="2"/>
        <v>33.099061316570008</v>
      </c>
      <c r="V110" s="148">
        <f t="shared" si="2"/>
        <v>34.408975415131742</v>
      </c>
      <c r="W110" s="148">
        <f t="shared" si="2"/>
        <v>35.718889513694691</v>
      </c>
      <c r="X110" s="148">
        <f t="shared" si="2"/>
        <v>37.028803612257043</v>
      </c>
      <c r="Y110" s="148">
        <f t="shared" si="2"/>
        <v>38.338717710818464</v>
      </c>
      <c r="Z110" s="148">
        <f t="shared" si="2"/>
        <v>38.338717710818464</v>
      </c>
      <c r="AA110" s="148">
        <f t="shared" si="2"/>
        <v>38.338717710818464</v>
      </c>
      <c r="AB110" s="148">
        <f t="shared" si="2"/>
        <v>38.338717710818464</v>
      </c>
      <c r="AC110" s="148">
        <f t="shared" si="2"/>
        <v>38.338717710818464</v>
      </c>
      <c r="AD110" s="148">
        <f t="shared" si="2"/>
        <v>38.338717710818464</v>
      </c>
      <c r="AE110" s="148">
        <f t="shared" si="2"/>
        <v>38.338717710818464</v>
      </c>
      <c r="AF110" s="148">
        <f t="shared" si="2"/>
        <v>38.338717710818464</v>
      </c>
      <c r="AG110" s="148">
        <f t="shared" si="2"/>
        <v>38.338717710818464</v>
      </c>
      <c r="AH110" s="148">
        <f t="shared" si="2"/>
        <v>38.338717710818464</v>
      </c>
      <c r="AI110" s="148">
        <f t="shared" si="2"/>
        <v>38.338717710818464</v>
      </c>
      <c r="AJ110" s="148">
        <f t="shared" si="2"/>
        <v>38.338717710818464</v>
      </c>
      <c r="AK110" s="148">
        <f t="shared" si="2"/>
        <v>38.338717710818464</v>
      </c>
      <c r="AL110" s="148">
        <f t="shared" si="2"/>
        <v>38.338717710818464</v>
      </c>
      <c r="AM110" s="148">
        <f t="shared" si="2"/>
        <v>38.338717710818464</v>
      </c>
      <c r="AN110" s="148">
        <f t="shared" si="2"/>
        <v>38.338717710818464</v>
      </c>
      <c r="AO110" s="148">
        <f t="shared" si="2"/>
        <v>38.338717710818464</v>
      </c>
      <c r="AP110" s="148">
        <f t="shared" si="2"/>
        <v>38.3387177108185</v>
      </c>
      <c r="AQ110" s="148">
        <f t="shared" si="2"/>
        <v>42.91841399999953</v>
      </c>
      <c r="AR110" s="3" t="s">
        <v>597</v>
      </c>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row>
    <row r="111" spans="1:95" ht="15" hidden="1" customHeight="1" outlineLevel="2" x14ac:dyDescent="0.25">
      <c r="A111" s="131"/>
      <c r="B111" s="131" t="s">
        <v>654</v>
      </c>
      <c r="C111" s="149">
        <f>Aviation_mask*Night_impact_mask*Night_modelling_mask</f>
        <v>0</v>
      </c>
      <c r="D111" s="148">
        <f t="shared" ref="D111:AQ111" si="3">Sleep_disturbance_values_aviation_1dB_night_in</f>
        <v>0</v>
      </c>
      <c r="E111" s="148">
        <f t="shared" si="3"/>
        <v>33.88000483382838</v>
      </c>
      <c r="F111" s="148">
        <f t="shared" si="3"/>
        <v>36.437702717978283</v>
      </c>
      <c r="G111" s="148">
        <f t="shared" si="3"/>
        <v>38.995400602126665</v>
      </c>
      <c r="H111" s="148">
        <f t="shared" si="3"/>
        <v>41.553098486275964</v>
      </c>
      <c r="I111" s="148">
        <f t="shared" si="3"/>
        <v>44.110796370425881</v>
      </c>
      <c r="J111" s="148">
        <f t="shared" si="3"/>
        <v>46.668494254574568</v>
      </c>
      <c r="K111" s="148">
        <f t="shared" si="3"/>
        <v>49.226192138724478</v>
      </c>
      <c r="L111" s="148">
        <f t="shared" si="3"/>
        <v>51.78389002287318</v>
      </c>
      <c r="M111" s="148">
        <f t="shared" si="3"/>
        <v>54.341587907023083</v>
      </c>
      <c r="N111" s="148">
        <f t="shared" si="3"/>
        <v>56.899285791171778</v>
      </c>
      <c r="O111" s="148">
        <f t="shared" si="3"/>
        <v>59.456983675321084</v>
      </c>
      <c r="P111" s="148">
        <f t="shared" si="3"/>
        <v>62.014681559470375</v>
      </c>
      <c r="Q111" s="148">
        <f t="shared" si="3"/>
        <v>64.572379443619681</v>
      </c>
      <c r="R111" s="148">
        <f t="shared" si="3"/>
        <v>67.130077327768973</v>
      </c>
      <c r="S111" s="148">
        <f t="shared" si="3"/>
        <v>69.687775211917653</v>
      </c>
      <c r="T111" s="148">
        <f t="shared" si="3"/>
        <v>72.245473096068181</v>
      </c>
      <c r="U111" s="148">
        <f t="shared" si="3"/>
        <v>74.803170980216265</v>
      </c>
      <c r="V111" s="148">
        <f t="shared" si="3"/>
        <v>77.360868864366196</v>
      </c>
      <c r="W111" s="148">
        <f t="shared" si="3"/>
        <v>79.918566748514877</v>
      </c>
      <c r="X111" s="148">
        <f t="shared" si="3"/>
        <v>82.476264632664169</v>
      </c>
      <c r="Y111" s="148">
        <f t="shared" si="3"/>
        <v>85.033962516814086</v>
      </c>
      <c r="Z111" s="148">
        <f t="shared" si="3"/>
        <v>85.033962516814086</v>
      </c>
      <c r="AA111" s="148">
        <f t="shared" si="3"/>
        <v>85.033962516814086</v>
      </c>
      <c r="AB111" s="148">
        <f t="shared" si="3"/>
        <v>85.033962516814086</v>
      </c>
      <c r="AC111" s="148">
        <f t="shared" si="3"/>
        <v>85.033962516814086</v>
      </c>
      <c r="AD111" s="148">
        <f t="shared" si="3"/>
        <v>85.033962516814086</v>
      </c>
      <c r="AE111" s="148">
        <f t="shared" si="3"/>
        <v>85.033962516814086</v>
      </c>
      <c r="AF111" s="148">
        <f t="shared" si="3"/>
        <v>85.033962516814086</v>
      </c>
      <c r="AG111" s="148">
        <f t="shared" si="3"/>
        <v>85.033962516814086</v>
      </c>
      <c r="AH111" s="148">
        <f t="shared" si="3"/>
        <v>85.033962516814086</v>
      </c>
      <c r="AI111" s="148">
        <f t="shared" si="3"/>
        <v>85.033962516814086</v>
      </c>
      <c r="AJ111" s="148">
        <f t="shared" si="3"/>
        <v>85.033962516814086</v>
      </c>
      <c r="AK111" s="148">
        <f t="shared" si="3"/>
        <v>85.033962516814086</v>
      </c>
      <c r="AL111" s="148">
        <f t="shared" si="3"/>
        <v>85.033962516814086</v>
      </c>
      <c r="AM111" s="148">
        <f t="shared" si="3"/>
        <v>85.033962516814086</v>
      </c>
      <c r="AN111" s="148">
        <f t="shared" si="3"/>
        <v>85.033962516814086</v>
      </c>
      <c r="AO111" s="148">
        <f t="shared" si="3"/>
        <v>85.033962516814086</v>
      </c>
      <c r="AP111" s="148">
        <f t="shared" si="3"/>
        <v>85.0339625168141</v>
      </c>
      <c r="AQ111" s="148">
        <f t="shared" si="3"/>
        <v>85.0339625168141</v>
      </c>
      <c r="AR111" s="3" t="s">
        <v>599</v>
      </c>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row>
    <row r="112" spans="1:95" ht="15" hidden="1" customHeight="1" outlineLevel="2" x14ac:dyDescent="0.25">
      <c r="A112" s="131"/>
      <c r="B112" s="131" t="s">
        <v>655</v>
      </c>
      <c r="C112" s="131">
        <f>Road_mask*Night_impact_mask*Non_night_modelling_mask</f>
        <v>0</v>
      </c>
      <c r="D112" s="148">
        <f t="shared" ref="D112:AQ112" si="4">Sleep_disturbance_values_road_1dB_16hr_in</f>
        <v>0</v>
      </c>
      <c r="E112" s="148">
        <f t="shared" si="4"/>
        <v>0</v>
      </c>
      <c r="F112" s="148">
        <f t="shared" si="4"/>
        <v>0</v>
      </c>
      <c r="G112" s="148">
        <f t="shared" si="4"/>
        <v>0</v>
      </c>
      <c r="H112" s="148">
        <f t="shared" si="4"/>
        <v>0</v>
      </c>
      <c r="I112" s="148">
        <f t="shared" si="4"/>
        <v>0</v>
      </c>
      <c r="J112" s="148">
        <f t="shared" si="4"/>
        <v>0</v>
      </c>
      <c r="K112" s="148">
        <f t="shared" si="4"/>
        <v>0</v>
      </c>
      <c r="L112" s="148">
        <f t="shared" si="4"/>
        <v>22.966594451939887</v>
      </c>
      <c r="M112" s="148">
        <f t="shared" si="4"/>
        <v>25.043921466269797</v>
      </c>
      <c r="N112" s="148">
        <f t="shared" si="4"/>
        <v>27.12124848059695</v>
      </c>
      <c r="O112" s="148">
        <f t="shared" si="4"/>
        <v>29.198575494926555</v>
      </c>
      <c r="P112" s="148">
        <f t="shared" si="4"/>
        <v>31.275902509254919</v>
      </c>
      <c r="Q112" s="148">
        <f t="shared" si="4"/>
        <v>33.353229523583295</v>
      </c>
      <c r="R112" s="148">
        <f t="shared" si="4"/>
        <v>35.430556537911983</v>
      </c>
      <c r="S112" s="148">
        <f t="shared" si="4"/>
        <v>37.507883552240656</v>
      </c>
      <c r="T112" s="148">
        <f t="shared" si="4"/>
        <v>39.585210566570268</v>
      </c>
      <c r="U112" s="148">
        <f t="shared" si="4"/>
        <v>41.662537580897414</v>
      </c>
      <c r="V112" s="148">
        <f t="shared" si="4"/>
        <v>43.73986459522763</v>
      </c>
      <c r="W112" s="148">
        <f t="shared" si="4"/>
        <v>45.817191609556005</v>
      </c>
      <c r="X112" s="148">
        <f t="shared" si="4"/>
        <v>47.894518623884998</v>
      </c>
      <c r="Y112" s="148">
        <f t="shared" si="4"/>
        <v>49.971845638212137</v>
      </c>
      <c r="Z112" s="148">
        <f t="shared" si="4"/>
        <v>52.049172652541742</v>
      </c>
      <c r="AA112" s="148">
        <f t="shared" si="4"/>
        <v>54.126499666870117</v>
      </c>
      <c r="AB112" s="148">
        <f t="shared" si="4"/>
        <v>56.203826681198493</v>
      </c>
      <c r="AC112" s="148">
        <f t="shared" si="4"/>
        <v>58.281153695528097</v>
      </c>
      <c r="AD112" s="148">
        <f t="shared" si="4"/>
        <v>60.358480709856472</v>
      </c>
      <c r="AE112" s="148">
        <f t="shared" si="4"/>
        <v>62.435807724184848</v>
      </c>
      <c r="AF112" s="148">
        <f t="shared" si="4"/>
        <v>64.51313473851323</v>
      </c>
      <c r="AG112" s="148">
        <f t="shared" si="4"/>
        <v>66.590461752843439</v>
      </c>
      <c r="AH112" s="148">
        <f t="shared" si="4"/>
        <v>68.667788767170592</v>
      </c>
      <c r="AI112" s="148">
        <f t="shared" si="4"/>
        <v>68.667788767170592</v>
      </c>
      <c r="AJ112" s="148">
        <f t="shared" si="4"/>
        <v>68.667788767170592</v>
      </c>
      <c r="AK112" s="148">
        <f t="shared" si="4"/>
        <v>68.667788767170592</v>
      </c>
      <c r="AL112" s="148">
        <f t="shared" si="4"/>
        <v>68.667788767170592</v>
      </c>
      <c r="AM112" s="148">
        <f t="shared" si="4"/>
        <v>68.667788767170592</v>
      </c>
      <c r="AN112" s="148">
        <f t="shared" si="4"/>
        <v>68.667788767170592</v>
      </c>
      <c r="AO112" s="148">
        <f t="shared" si="4"/>
        <v>68.667788767170592</v>
      </c>
      <c r="AP112" s="148">
        <f t="shared" si="4"/>
        <v>68.667788767170606</v>
      </c>
      <c r="AQ112" s="148">
        <f t="shared" si="4"/>
        <v>68.667788767170606</v>
      </c>
      <c r="AR112" s="3" t="s">
        <v>614</v>
      </c>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row>
    <row r="113" spans="1:95" ht="15" hidden="1" customHeight="1" outlineLevel="2" x14ac:dyDescent="0.25">
      <c r="A113" s="131"/>
      <c r="B113" s="131"/>
      <c r="C113" s="149"/>
      <c r="D113" s="3"/>
      <c r="E113" s="3"/>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row>
    <row r="114" spans="1:95" ht="15" hidden="1" customHeight="1" outlineLevel="2" x14ac:dyDescent="0.25">
      <c r="A114" s="131"/>
      <c r="B114" s="191" t="str">
        <f>IF(Night_modelling_mask=1,("Noise change in the interval, (dB Lnight)"),("Noise change in the interval, (dB Leq, 16hr)"))</f>
        <v>Noise change in the interval, (dB Lnight)</v>
      </c>
      <c r="C114" s="131"/>
      <c r="D114" s="17" t="s">
        <v>64</v>
      </c>
      <c r="E114" s="18">
        <v>45</v>
      </c>
      <c r="F114" s="19">
        <v>46</v>
      </c>
      <c r="G114" s="18">
        <v>47</v>
      </c>
      <c r="H114" s="19">
        <v>48</v>
      </c>
      <c r="I114" s="18">
        <v>49</v>
      </c>
      <c r="J114" s="19">
        <v>50</v>
      </c>
      <c r="K114" s="18">
        <v>51</v>
      </c>
      <c r="L114" s="19">
        <v>52</v>
      </c>
      <c r="M114" s="18">
        <v>53</v>
      </c>
      <c r="N114" s="19">
        <v>54</v>
      </c>
      <c r="O114" s="18">
        <v>55</v>
      </c>
      <c r="P114" s="19">
        <v>56</v>
      </c>
      <c r="Q114" s="18">
        <v>57</v>
      </c>
      <c r="R114" s="19">
        <v>58</v>
      </c>
      <c r="S114" s="18">
        <v>59</v>
      </c>
      <c r="T114" s="19">
        <v>60</v>
      </c>
      <c r="U114" s="18">
        <v>61</v>
      </c>
      <c r="V114" s="19">
        <v>62</v>
      </c>
      <c r="W114" s="18">
        <v>63</v>
      </c>
      <c r="X114" s="19">
        <v>64</v>
      </c>
      <c r="Y114" s="18">
        <v>65</v>
      </c>
      <c r="Z114" s="19">
        <v>66</v>
      </c>
      <c r="AA114" s="18">
        <v>67</v>
      </c>
      <c r="AB114" s="19">
        <v>68</v>
      </c>
      <c r="AC114" s="18">
        <v>69</v>
      </c>
      <c r="AD114" s="19">
        <v>70</v>
      </c>
      <c r="AE114" s="18">
        <v>71</v>
      </c>
      <c r="AF114" s="19">
        <v>72</v>
      </c>
      <c r="AG114" s="18">
        <v>73</v>
      </c>
      <c r="AH114" s="19">
        <v>74</v>
      </c>
      <c r="AI114" s="18">
        <v>75</v>
      </c>
      <c r="AJ114" s="19">
        <v>76</v>
      </c>
      <c r="AK114" s="18">
        <v>77</v>
      </c>
      <c r="AL114" s="19">
        <v>78</v>
      </c>
      <c r="AM114" s="18">
        <v>79</v>
      </c>
      <c r="AN114" s="19">
        <v>80</v>
      </c>
      <c r="AO114" s="18">
        <v>81</v>
      </c>
      <c r="AP114" s="19">
        <v>82</v>
      </c>
      <c r="AQ114" s="18">
        <v>83</v>
      </c>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row>
    <row r="115" spans="1:95" ht="15" hidden="1" customHeight="1" outlineLevel="2" x14ac:dyDescent="0.25">
      <c r="A115" s="131"/>
      <c r="B115" s="191"/>
      <c r="C115" s="131"/>
      <c r="D115" s="17">
        <v>45</v>
      </c>
      <c r="E115" s="18">
        <v>46</v>
      </c>
      <c r="F115" s="17">
        <v>47</v>
      </c>
      <c r="G115" s="18">
        <v>48</v>
      </c>
      <c r="H115" s="17">
        <v>49</v>
      </c>
      <c r="I115" s="18">
        <v>50</v>
      </c>
      <c r="J115" s="17">
        <v>51</v>
      </c>
      <c r="K115" s="18">
        <v>52</v>
      </c>
      <c r="L115" s="17">
        <v>53</v>
      </c>
      <c r="M115" s="18">
        <v>54</v>
      </c>
      <c r="N115" s="17">
        <v>55</v>
      </c>
      <c r="O115" s="18">
        <v>56</v>
      </c>
      <c r="P115" s="17">
        <v>57</v>
      </c>
      <c r="Q115" s="18">
        <v>58</v>
      </c>
      <c r="R115" s="17">
        <v>59</v>
      </c>
      <c r="S115" s="18">
        <v>60</v>
      </c>
      <c r="T115" s="17">
        <v>61</v>
      </c>
      <c r="U115" s="18">
        <v>62</v>
      </c>
      <c r="V115" s="17">
        <v>63</v>
      </c>
      <c r="W115" s="18">
        <v>64</v>
      </c>
      <c r="X115" s="17">
        <v>65</v>
      </c>
      <c r="Y115" s="18">
        <v>66</v>
      </c>
      <c r="Z115" s="17">
        <v>67</v>
      </c>
      <c r="AA115" s="18">
        <v>68</v>
      </c>
      <c r="AB115" s="17">
        <v>69</v>
      </c>
      <c r="AC115" s="18">
        <v>70</v>
      </c>
      <c r="AD115" s="17">
        <v>71</v>
      </c>
      <c r="AE115" s="18">
        <v>72</v>
      </c>
      <c r="AF115" s="17">
        <v>73</v>
      </c>
      <c r="AG115" s="18">
        <v>74</v>
      </c>
      <c r="AH115" s="17">
        <v>75</v>
      </c>
      <c r="AI115" s="18">
        <v>76</v>
      </c>
      <c r="AJ115" s="17">
        <v>77</v>
      </c>
      <c r="AK115" s="18">
        <v>78</v>
      </c>
      <c r="AL115" s="17">
        <v>79</v>
      </c>
      <c r="AM115" s="18">
        <v>80</v>
      </c>
      <c r="AN115" s="17">
        <v>81</v>
      </c>
      <c r="AO115" s="18">
        <v>82</v>
      </c>
      <c r="AP115" s="17">
        <v>83</v>
      </c>
      <c r="AQ115" s="18">
        <v>84</v>
      </c>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row>
    <row r="116" spans="1:95" ht="15" hidden="1" customHeight="1" outlineLevel="2" x14ac:dyDescent="0.25">
      <c r="A116" s="131"/>
      <c r="B116" s="131" t="s">
        <v>98</v>
      </c>
      <c r="C116" s="131"/>
      <c r="D116" s="148">
        <f>Sleep_disturbance_values_road_1dB_night*Road_Lnight_mask+Sleep_disturbance_values_rail_1dB_night*Rail_Lnight_mask+Sleep_disturbance_values_aviation_1dB_night*Aviation_Lnight_mask+Sleep_disturbance_values_road_1dB_16hr*Road_L16h_mask</f>
        <v>0</v>
      </c>
      <c r="E116" s="148">
        <f t="shared" ref="E116:AQ116" si="5">Sleep_disturbance_values_road_1dB_night*Road_Lnight_mask+Sleep_disturbance_values_rail_1dB_night*Rail_Lnight_mask+Sleep_disturbance_values_aviation_1dB_night*Aviation_Lnight_mask+Sleep_disturbance_values_road_1dB_16hr*Road_L16h_mask</f>
        <v>26.082650555430003</v>
      </c>
      <c r="F116" s="148">
        <f t="shared" si="5"/>
        <v>28.647251807688331</v>
      </c>
      <c r="G116" s="148">
        <f t="shared" si="5"/>
        <v>31.211853059944815</v>
      </c>
      <c r="H116" s="148">
        <f t="shared" si="5"/>
        <v>33.776454312203441</v>
      </c>
      <c r="I116" s="148">
        <f t="shared" si="5"/>
        <v>36.341055564460845</v>
      </c>
      <c r="J116" s="148">
        <f t="shared" si="5"/>
        <v>38.905656816718555</v>
      </c>
      <c r="K116" s="148">
        <f t="shared" si="5"/>
        <v>41.470258068976271</v>
      </c>
      <c r="L116" s="148">
        <f t="shared" si="5"/>
        <v>44.034859321232453</v>
      </c>
      <c r="M116" s="148">
        <f t="shared" si="5"/>
        <v>46.599460573491697</v>
      </c>
      <c r="N116" s="148">
        <f t="shared" si="5"/>
        <v>49.164061825749101</v>
      </c>
      <c r="O116" s="148">
        <f t="shared" si="5"/>
        <v>51.728663078006512</v>
      </c>
      <c r="P116" s="148">
        <f t="shared" si="5"/>
        <v>54.29326433026452</v>
      </c>
      <c r="Q116" s="148">
        <f t="shared" si="5"/>
        <v>56.857865582520702</v>
      </c>
      <c r="R116" s="148">
        <f t="shared" si="5"/>
        <v>59.422466834779335</v>
      </c>
      <c r="S116" s="148">
        <f t="shared" si="5"/>
        <v>61.987068087037343</v>
      </c>
      <c r="T116" s="148">
        <f t="shared" si="5"/>
        <v>64.551669339294762</v>
      </c>
      <c r="U116" s="148">
        <f t="shared" si="5"/>
        <v>67.116270591550915</v>
      </c>
      <c r="V116" s="148">
        <f t="shared" si="5"/>
        <v>69.680871843810181</v>
      </c>
      <c r="W116" s="148">
        <f t="shared" si="5"/>
        <v>72.245473096067585</v>
      </c>
      <c r="X116" s="148">
        <f t="shared" si="5"/>
        <v>74.81007434832496</v>
      </c>
      <c r="Y116" s="148">
        <f t="shared" si="5"/>
        <v>77.374675600583004</v>
      </c>
      <c r="Z116" s="148">
        <f t="shared" si="5"/>
        <v>77.374675600583004</v>
      </c>
      <c r="AA116" s="148">
        <f t="shared" si="5"/>
        <v>77.374675600583004</v>
      </c>
      <c r="AB116" s="148">
        <f t="shared" si="5"/>
        <v>77.374675600583004</v>
      </c>
      <c r="AC116" s="148">
        <f t="shared" si="5"/>
        <v>77.374675600583004</v>
      </c>
      <c r="AD116" s="148">
        <f t="shared" si="5"/>
        <v>77.374675600583004</v>
      </c>
      <c r="AE116" s="148">
        <f t="shared" si="5"/>
        <v>77.374675600583004</v>
      </c>
      <c r="AF116" s="148">
        <f t="shared" si="5"/>
        <v>77.374675600583004</v>
      </c>
      <c r="AG116" s="148">
        <f t="shared" si="5"/>
        <v>77.374675600583004</v>
      </c>
      <c r="AH116" s="148">
        <f t="shared" si="5"/>
        <v>77.374675600583004</v>
      </c>
      <c r="AI116" s="148">
        <f t="shared" si="5"/>
        <v>77.374675600583004</v>
      </c>
      <c r="AJ116" s="148">
        <f t="shared" si="5"/>
        <v>77.374675600583004</v>
      </c>
      <c r="AK116" s="148">
        <f t="shared" si="5"/>
        <v>77.374675600583004</v>
      </c>
      <c r="AL116" s="148">
        <f t="shared" si="5"/>
        <v>77.374675600583004</v>
      </c>
      <c r="AM116" s="148">
        <f t="shared" si="5"/>
        <v>77.374675600583004</v>
      </c>
      <c r="AN116" s="148">
        <f t="shared" si="5"/>
        <v>77.374675600583004</v>
      </c>
      <c r="AO116" s="148">
        <f t="shared" si="5"/>
        <v>77.374675600583004</v>
      </c>
      <c r="AP116" s="148">
        <f t="shared" si="5"/>
        <v>77.374675600583004</v>
      </c>
      <c r="AQ116" s="148">
        <f t="shared" si="5"/>
        <v>77.374675600583004</v>
      </c>
      <c r="AR116" s="3" t="s">
        <v>100</v>
      </c>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row>
    <row r="117" spans="1:95" ht="15" hidden="1" customHeight="1" outlineLevel="2" x14ac:dyDescent="0.25">
      <c r="A117" s="131"/>
      <c r="B117" s="131"/>
      <c r="C117" s="131"/>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3"/>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row>
    <row r="118" spans="1:95" ht="15" hidden="1" customHeight="1" outlineLevel="2" x14ac:dyDescent="0.25">
      <c r="A118" s="131"/>
      <c r="C118" s="176" t="s">
        <v>814</v>
      </c>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3"/>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row>
    <row r="119" spans="1:95" ht="15" hidden="1" customHeight="1" outlineLevel="2" x14ac:dyDescent="0.25">
      <c r="A119" s="131"/>
      <c r="B119" s="171" t="s">
        <v>760</v>
      </c>
      <c r="C119" s="177" t="s">
        <v>16</v>
      </c>
      <c r="D119" s="148">
        <v>1</v>
      </c>
      <c r="E119" s="148">
        <v>1</v>
      </c>
      <c r="F119" s="148">
        <v>0.5</v>
      </c>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3" t="s">
        <v>745</v>
      </c>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row>
    <row r="120" spans="1:95" ht="15" hidden="1" customHeight="1" outlineLevel="2" x14ac:dyDescent="0.25">
      <c r="A120" s="131"/>
      <c r="B120" s="171" t="s">
        <v>758</v>
      </c>
      <c r="C120" s="177" t="s">
        <v>17</v>
      </c>
      <c r="D120" s="148"/>
      <c r="E120" s="148"/>
      <c r="F120" s="148">
        <v>0.5</v>
      </c>
      <c r="G120" s="148">
        <v>1</v>
      </c>
      <c r="H120" s="148">
        <v>1</v>
      </c>
      <c r="I120" s="148">
        <v>0.5</v>
      </c>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3" t="s">
        <v>746</v>
      </c>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row>
    <row r="121" spans="1:95" ht="15" hidden="1" customHeight="1" outlineLevel="2" x14ac:dyDescent="0.25">
      <c r="A121" s="131"/>
      <c r="B121" s="171" t="s">
        <v>759</v>
      </c>
      <c r="C121" s="177" t="s">
        <v>18</v>
      </c>
      <c r="D121" s="148"/>
      <c r="E121" s="148"/>
      <c r="F121" s="148"/>
      <c r="G121" s="148"/>
      <c r="H121" s="148"/>
      <c r="I121" s="148">
        <v>0.5</v>
      </c>
      <c r="J121" s="148">
        <v>1</v>
      </c>
      <c r="K121" s="148">
        <v>1</v>
      </c>
      <c r="L121" s="148">
        <v>0.5</v>
      </c>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3" t="s">
        <v>747</v>
      </c>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row>
    <row r="122" spans="1:95" ht="15" hidden="1" customHeight="1" outlineLevel="2" x14ac:dyDescent="0.25">
      <c r="A122" s="131"/>
      <c r="B122" s="131"/>
      <c r="C122" s="177" t="s">
        <v>19</v>
      </c>
      <c r="D122" s="148"/>
      <c r="E122" s="148"/>
      <c r="F122" s="148"/>
      <c r="G122" s="148"/>
      <c r="H122" s="148"/>
      <c r="I122" s="148"/>
      <c r="J122" s="148"/>
      <c r="K122" s="148"/>
      <c r="L122" s="148">
        <v>0.5</v>
      </c>
      <c r="M122" s="148">
        <v>1</v>
      </c>
      <c r="N122" s="148">
        <v>1</v>
      </c>
      <c r="O122" s="148">
        <v>0.5</v>
      </c>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3" t="s">
        <v>748</v>
      </c>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row>
    <row r="123" spans="1:95" ht="15" hidden="1" customHeight="1" outlineLevel="2" x14ac:dyDescent="0.25">
      <c r="A123" s="131"/>
      <c r="B123" s="131"/>
      <c r="C123" s="177" t="s">
        <v>20</v>
      </c>
      <c r="D123" s="148"/>
      <c r="E123" s="148"/>
      <c r="F123" s="148"/>
      <c r="G123" s="148"/>
      <c r="H123" s="148"/>
      <c r="I123" s="148"/>
      <c r="J123" s="148"/>
      <c r="K123" s="148"/>
      <c r="L123" s="148"/>
      <c r="M123" s="148"/>
      <c r="N123" s="148"/>
      <c r="O123" s="148">
        <v>0.5</v>
      </c>
      <c r="P123" s="148">
        <v>1</v>
      </c>
      <c r="Q123" s="148">
        <v>1</v>
      </c>
      <c r="R123" s="148">
        <v>0.5</v>
      </c>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3" t="s">
        <v>749</v>
      </c>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row>
    <row r="124" spans="1:95" ht="15" hidden="1" customHeight="1" outlineLevel="2" x14ac:dyDescent="0.25">
      <c r="A124" s="131"/>
      <c r="B124" s="131"/>
      <c r="C124" s="177" t="s">
        <v>21</v>
      </c>
      <c r="D124" s="148"/>
      <c r="E124" s="148"/>
      <c r="F124" s="148"/>
      <c r="G124" s="148"/>
      <c r="H124" s="148"/>
      <c r="I124" s="148"/>
      <c r="J124" s="148"/>
      <c r="K124" s="148"/>
      <c r="L124" s="148"/>
      <c r="M124" s="148"/>
      <c r="N124" s="148"/>
      <c r="O124" s="148"/>
      <c r="P124" s="148"/>
      <c r="Q124" s="148"/>
      <c r="R124" s="148">
        <v>0.5</v>
      </c>
      <c r="S124" s="148">
        <v>1</v>
      </c>
      <c r="T124" s="148">
        <v>1</v>
      </c>
      <c r="U124" s="148">
        <v>0.5</v>
      </c>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3" t="s">
        <v>750</v>
      </c>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row>
    <row r="125" spans="1:95" ht="15" hidden="1" customHeight="1" outlineLevel="2" x14ac:dyDescent="0.25">
      <c r="A125" s="131"/>
      <c r="B125" s="131"/>
      <c r="C125" s="177" t="s">
        <v>22</v>
      </c>
      <c r="D125" s="148"/>
      <c r="E125" s="148"/>
      <c r="F125" s="148"/>
      <c r="G125" s="148"/>
      <c r="H125" s="148"/>
      <c r="I125" s="148"/>
      <c r="J125" s="148"/>
      <c r="K125" s="148"/>
      <c r="L125" s="148"/>
      <c r="M125" s="148"/>
      <c r="N125" s="148"/>
      <c r="O125" s="148"/>
      <c r="P125" s="148"/>
      <c r="Q125" s="148"/>
      <c r="R125" s="148"/>
      <c r="S125" s="148"/>
      <c r="T125" s="148"/>
      <c r="U125" s="148">
        <v>0.5</v>
      </c>
      <c r="V125" s="148">
        <v>1</v>
      </c>
      <c r="W125" s="148">
        <v>1</v>
      </c>
      <c r="X125" s="148">
        <v>0.5</v>
      </c>
      <c r="Y125" s="148"/>
      <c r="Z125" s="148"/>
      <c r="AA125" s="148"/>
      <c r="AB125" s="148"/>
      <c r="AC125" s="148"/>
      <c r="AD125" s="148"/>
      <c r="AE125" s="148"/>
      <c r="AF125" s="148"/>
      <c r="AG125" s="148"/>
      <c r="AH125" s="148"/>
      <c r="AI125" s="148"/>
      <c r="AJ125" s="148"/>
      <c r="AK125" s="148"/>
      <c r="AL125" s="148"/>
      <c r="AM125" s="148"/>
      <c r="AN125" s="148"/>
      <c r="AO125" s="148"/>
      <c r="AP125" s="148"/>
      <c r="AQ125" s="148"/>
      <c r="AR125" s="3" t="s">
        <v>751</v>
      </c>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row>
    <row r="126" spans="1:95" ht="15" hidden="1" customHeight="1" outlineLevel="2" x14ac:dyDescent="0.25">
      <c r="A126" s="131"/>
      <c r="B126" s="131"/>
      <c r="C126" s="177" t="s">
        <v>23</v>
      </c>
      <c r="D126" s="148"/>
      <c r="E126" s="148"/>
      <c r="F126" s="148"/>
      <c r="G126" s="148"/>
      <c r="H126" s="148"/>
      <c r="I126" s="148"/>
      <c r="J126" s="148"/>
      <c r="K126" s="148"/>
      <c r="L126" s="148"/>
      <c r="M126" s="148"/>
      <c r="N126" s="148"/>
      <c r="O126" s="148"/>
      <c r="P126" s="148"/>
      <c r="Q126" s="148"/>
      <c r="R126" s="148"/>
      <c r="S126" s="148"/>
      <c r="T126" s="148"/>
      <c r="U126" s="148"/>
      <c r="V126" s="148"/>
      <c r="W126" s="148"/>
      <c r="X126" s="148">
        <v>0.5</v>
      </c>
      <c r="Y126" s="148">
        <v>1</v>
      </c>
      <c r="Z126" s="148">
        <v>1</v>
      </c>
      <c r="AA126" s="148">
        <v>0.5</v>
      </c>
      <c r="AB126" s="148"/>
      <c r="AC126" s="148"/>
      <c r="AD126" s="148"/>
      <c r="AE126" s="148"/>
      <c r="AF126" s="148"/>
      <c r="AG126" s="148"/>
      <c r="AH126" s="148"/>
      <c r="AI126" s="148"/>
      <c r="AJ126" s="148"/>
      <c r="AK126" s="148"/>
      <c r="AL126" s="148"/>
      <c r="AM126" s="148"/>
      <c r="AN126" s="148"/>
      <c r="AO126" s="148"/>
      <c r="AP126" s="148"/>
      <c r="AQ126" s="148"/>
      <c r="AR126" s="3" t="s">
        <v>752</v>
      </c>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row>
    <row r="127" spans="1:95" ht="15" hidden="1" customHeight="1" outlineLevel="2" x14ac:dyDescent="0.25">
      <c r="A127" s="131"/>
      <c r="B127" s="131"/>
      <c r="C127" s="177" t="s">
        <v>24</v>
      </c>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v>0.5</v>
      </c>
      <c r="AB127" s="148">
        <v>1</v>
      </c>
      <c r="AC127" s="148">
        <v>1</v>
      </c>
      <c r="AD127" s="148">
        <v>0.5</v>
      </c>
      <c r="AE127" s="148"/>
      <c r="AF127" s="148"/>
      <c r="AG127" s="148"/>
      <c r="AH127" s="148"/>
      <c r="AI127" s="148"/>
      <c r="AJ127" s="148"/>
      <c r="AK127" s="148"/>
      <c r="AL127" s="148"/>
      <c r="AM127" s="148"/>
      <c r="AN127" s="148"/>
      <c r="AO127" s="148"/>
      <c r="AP127" s="148"/>
      <c r="AQ127" s="148"/>
      <c r="AR127" s="3" t="s">
        <v>753</v>
      </c>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row>
    <row r="128" spans="1:95" ht="15" hidden="1" customHeight="1" outlineLevel="2" x14ac:dyDescent="0.25">
      <c r="A128" s="131"/>
      <c r="B128" s="131"/>
      <c r="C128" s="177" t="s">
        <v>25</v>
      </c>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v>0.5</v>
      </c>
      <c r="AE128" s="148">
        <v>1</v>
      </c>
      <c r="AF128" s="148">
        <v>1</v>
      </c>
      <c r="AG128" s="148">
        <v>0.5</v>
      </c>
      <c r="AH128" s="148"/>
      <c r="AI128" s="148"/>
      <c r="AJ128" s="148"/>
      <c r="AK128" s="148"/>
      <c r="AL128" s="148"/>
      <c r="AM128" s="148"/>
      <c r="AN128" s="148"/>
      <c r="AO128" s="148"/>
      <c r="AP128" s="148"/>
      <c r="AQ128" s="148"/>
      <c r="AR128" s="3" t="s">
        <v>754</v>
      </c>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row>
    <row r="129" spans="1:95" ht="15" hidden="1" customHeight="1" outlineLevel="2" x14ac:dyDescent="0.25">
      <c r="A129" s="131"/>
      <c r="B129" s="131"/>
      <c r="C129" s="177" t="s">
        <v>26</v>
      </c>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v>0.5</v>
      </c>
      <c r="AH129" s="148">
        <v>1</v>
      </c>
      <c r="AI129" s="148">
        <v>1</v>
      </c>
      <c r="AJ129" s="148">
        <v>0.5</v>
      </c>
      <c r="AK129" s="148"/>
      <c r="AL129" s="148"/>
      <c r="AM129" s="148"/>
      <c r="AN129" s="148"/>
      <c r="AO129" s="148"/>
      <c r="AP129" s="148"/>
      <c r="AQ129" s="148"/>
      <c r="AR129" s="3" t="s">
        <v>755</v>
      </c>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row>
    <row r="130" spans="1:95" ht="15" hidden="1" customHeight="1" outlineLevel="2" x14ac:dyDescent="0.25">
      <c r="A130" s="131"/>
      <c r="B130" s="131"/>
      <c r="C130" s="177" t="s">
        <v>27</v>
      </c>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v>0.5</v>
      </c>
      <c r="AK130" s="148">
        <v>1</v>
      </c>
      <c r="AL130" s="148">
        <v>1</v>
      </c>
      <c r="AM130" s="148">
        <v>0.5</v>
      </c>
      <c r="AN130" s="148"/>
      <c r="AO130" s="148"/>
      <c r="AP130" s="148"/>
      <c r="AQ130" s="148"/>
      <c r="AR130" s="3" t="s">
        <v>756</v>
      </c>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row>
    <row r="131" spans="1:95" ht="15" hidden="1" customHeight="1" outlineLevel="2" x14ac:dyDescent="0.25">
      <c r="A131" s="131"/>
      <c r="B131" s="131"/>
      <c r="C131" s="177" t="s">
        <v>28</v>
      </c>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v>0.5</v>
      </c>
      <c r="AN131" s="148">
        <v>1</v>
      </c>
      <c r="AO131" s="148">
        <v>1</v>
      </c>
      <c r="AP131" s="148">
        <v>0.5</v>
      </c>
      <c r="AQ131" s="148"/>
      <c r="AR131" s="3" t="s">
        <v>757</v>
      </c>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row>
    <row r="132" spans="1:95" ht="15" hidden="1" customHeight="1" outlineLevel="2" x14ac:dyDescent="0.25">
      <c r="A132" s="131"/>
      <c r="B132" s="131"/>
      <c r="C132" s="171"/>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3"/>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row>
    <row r="133" spans="1:95" ht="15" hidden="1" customHeight="1" outlineLevel="1" collapsed="1" x14ac:dyDescent="0.25">
      <c r="A133" s="131"/>
      <c r="B133" s="191" t="str">
        <f>Sleep_disturbance_metric</f>
        <v>Noise change in the interval, (dB Lnight)</v>
      </c>
      <c r="C133" s="131"/>
      <c r="D133" s="23" t="s">
        <v>16</v>
      </c>
      <c r="E133" s="24" t="s">
        <v>17</v>
      </c>
      <c r="F133" s="24" t="s">
        <v>18</v>
      </c>
      <c r="G133" s="24" t="s">
        <v>19</v>
      </c>
      <c r="H133" s="24" t="s">
        <v>20</v>
      </c>
      <c r="I133" s="24" t="s">
        <v>21</v>
      </c>
      <c r="J133" s="24" t="s">
        <v>22</v>
      </c>
      <c r="K133" s="24" t="s">
        <v>23</v>
      </c>
      <c r="L133" s="24" t="s">
        <v>24</v>
      </c>
      <c r="M133" s="24" t="s">
        <v>25</v>
      </c>
      <c r="N133" s="24" t="s">
        <v>26</v>
      </c>
      <c r="O133" s="24" t="s">
        <v>27</v>
      </c>
      <c r="P133" s="24" t="s">
        <v>28</v>
      </c>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row>
    <row r="134" spans="1:95" ht="15" hidden="1" customHeight="1" outlineLevel="1" x14ac:dyDescent="0.25">
      <c r="A134" s="131"/>
      <c r="B134" s="191"/>
      <c r="C134" s="131"/>
      <c r="D134" s="23" t="s">
        <v>17</v>
      </c>
      <c r="E134" s="24" t="s">
        <v>18</v>
      </c>
      <c r="F134" s="24" t="s">
        <v>19</v>
      </c>
      <c r="G134" s="24" t="s">
        <v>20</v>
      </c>
      <c r="H134" s="24" t="s">
        <v>21</v>
      </c>
      <c r="I134" s="24" t="s">
        <v>22</v>
      </c>
      <c r="J134" s="24" t="s">
        <v>23</v>
      </c>
      <c r="K134" s="24" t="s">
        <v>24</v>
      </c>
      <c r="L134" s="24" t="s">
        <v>25</v>
      </c>
      <c r="M134" s="24" t="s">
        <v>26</v>
      </c>
      <c r="N134" s="24" t="s">
        <v>27</v>
      </c>
      <c r="O134" s="24" t="s">
        <v>28</v>
      </c>
      <c r="P134" s="24" t="s">
        <v>29</v>
      </c>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row>
    <row r="135" spans="1:95" ht="15" hidden="1" customHeight="1" outlineLevel="1" x14ac:dyDescent="0.25">
      <c r="A135" s="131"/>
      <c r="B135" s="131" t="s">
        <v>98</v>
      </c>
      <c r="C135" s="131"/>
      <c r="D135" s="151">
        <f>SUMPRODUCT(Sleep_disturbance_values_1dB_table,S_d_1_to_3_dB_band_45)</f>
        <v>40.406276459274167</v>
      </c>
      <c r="E135" s="151">
        <f>SUMPRODUCT(Sleep_disturbance_values_1dB_table,S_d_1_to_3_dB_band_45_48)</f>
        <v>97.482461058222853</v>
      </c>
      <c r="F135" s="151">
        <f>SUMPRODUCT(Sleep_disturbance_values_1dB_table,S_d_1_to_3_dB_band_48_51)</f>
        <v>120.56387232854148</v>
      </c>
      <c r="G135" s="151">
        <f>SUMPRODUCT(Sleep_disturbance_values_1dB_table,S_d_1_to_3_dB_band_51_54)</f>
        <v>143.64528359886029</v>
      </c>
      <c r="H135" s="151">
        <f>SUMPRODUCT(Sleep_disturbance_values_1dB_table,S_d_1_to_3_dB_band_54_57)</f>
        <v>166.72669486917817</v>
      </c>
      <c r="I135" s="151">
        <f>SUMPRODUCT(Sleep_disturbance_values_1dB_table,S_d_1_to_3_dB_band_57_60)</f>
        <v>189.80810613949723</v>
      </c>
      <c r="J135" s="151">
        <f>SUMPRODUCT(Sleep_disturbance_values_1dB_table,S_d_1_to_3_dB_band_60_63)</f>
        <v>212.88951740981571</v>
      </c>
      <c r="K135" s="151">
        <f>SUMPRODUCT(Sleep_disturbance_values_1dB_table,S_d_1_to_3_dB_band_63_66)</f>
        <v>230.84172617562001</v>
      </c>
      <c r="L135" s="151">
        <f>SUMPRODUCT(Sleep_disturbance_values_1dB_table,S_d_1_to_3_dB_band_66_69)</f>
        <v>232.12402680174904</v>
      </c>
      <c r="M135" s="151">
        <f>SUMPRODUCT(Sleep_disturbance_values_1dB_table,S_d_1_to_3_dB_band_69_72)</f>
        <v>232.12402680174904</v>
      </c>
      <c r="N135" s="151">
        <f>SUMPRODUCT(Sleep_disturbance_values_1dB_table,S_d_1_to_3_dB_band_72_75)</f>
        <v>232.12402680174904</v>
      </c>
      <c r="O135" s="151">
        <f>SUMPRODUCT(Sleep_disturbance_values_1dB_table,S_d_1_to_3_dB_band_75_78)</f>
        <v>232.12402680174904</v>
      </c>
      <c r="P135" s="151">
        <f>SUMPRODUCT(Sleep_disturbance_values_1dB_table,S_d_1_to_3_dB_band_78_81)</f>
        <v>232.12402680174904</v>
      </c>
      <c r="Q135" s="20" t="s">
        <v>119</v>
      </c>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row>
    <row r="136" spans="1:95" s="175" customFormat="1" ht="15" hidden="1" customHeight="1" outlineLevel="1" x14ac:dyDescent="0.25">
      <c r="A136" s="172"/>
      <c r="B136" s="173"/>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2"/>
      <c r="BV136" s="172"/>
      <c r="BW136" s="172"/>
      <c r="BX136" s="172"/>
      <c r="BY136" s="172"/>
      <c r="BZ136" s="172"/>
      <c r="CA136" s="172"/>
      <c r="CB136" s="172"/>
      <c r="CC136" s="172"/>
      <c r="CD136" s="172"/>
      <c r="CE136" s="172"/>
      <c r="CF136" s="172"/>
      <c r="CG136" s="172"/>
      <c r="CH136" s="172"/>
      <c r="CI136" s="172"/>
      <c r="CJ136" s="172"/>
      <c r="CK136" s="172"/>
      <c r="CL136" s="172"/>
      <c r="CM136" s="172"/>
      <c r="CN136" s="172"/>
      <c r="CO136" s="172"/>
      <c r="CP136" s="172"/>
      <c r="CQ136" s="172"/>
    </row>
    <row r="137" spans="1:95" s="25" customFormat="1" ht="15" hidden="1" customHeight="1" outlineLevel="1" x14ac:dyDescent="0.25">
      <c r="A137" s="27"/>
      <c r="B137" s="134"/>
      <c r="C137" s="91" t="s">
        <v>15</v>
      </c>
      <c r="D137" s="92" t="s">
        <v>16</v>
      </c>
      <c r="E137" s="135" t="s">
        <v>17</v>
      </c>
      <c r="F137" s="135" t="s">
        <v>18</v>
      </c>
      <c r="G137" s="135" t="s">
        <v>19</v>
      </c>
      <c r="H137" s="135" t="s">
        <v>20</v>
      </c>
      <c r="I137" s="135" t="s">
        <v>21</v>
      </c>
      <c r="J137" s="135" t="s">
        <v>22</v>
      </c>
      <c r="K137" s="135" t="s">
        <v>23</v>
      </c>
      <c r="L137" s="135" t="s">
        <v>24</v>
      </c>
      <c r="M137" s="135" t="s">
        <v>25</v>
      </c>
      <c r="N137" s="135" t="s">
        <v>26</v>
      </c>
      <c r="O137" s="135" t="s">
        <v>27</v>
      </c>
      <c r="P137" s="135" t="s">
        <v>28</v>
      </c>
      <c r="Q137" s="135" t="s">
        <v>29</v>
      </c>
      <c r="R137" s="26" t="s">
        <v>99</v>
      </c>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row>
    <row r="138" spans="1:95" s="25" customFormat="1" ht="15" hidden="1" customHeight="1" outlineLevel="1" x14ac:dyDescent="0.25">
      <c r="A138" s="27"/>
      <c r="B138" s="91" t="s">
        <v>30</v>
      </c>
      <c r="C138" s="138"/>
      <c r="D138" s="138"/>
      <c r="E138" s="138"/>
      <c r="F138" s="138"/>
      <c r="G138" s="138"/>
      <c r="H138" s="138"/>
      <c r="I138" s="138"/>
      <c r="J138" s="138"/>
      <c r="K138" s="138"/>
      <c r="L138" s="138"/>
      <c r="M138" s="138"/>
      <c r="N138" s="138"/>
      <c r="O138" s="138"/>
      <c r="P138" s="138"/>
      <c r="Q138" s="136"/>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row>
    <row r="139" spans="1:95" s="25" customFormat="1" ht="15" hidden="1" customHeight="1" outlineLevel="1" x14ac:dyDescent="0.25">
      <c r="A139" s="27"/>
      <c r="B139" s="92" t="s">
        <v>16</v>
      </c>
      <c r="C139" s="110"/>
      <c r="D139" s="145">
        <v>0</v>
      </c>
      <c r="E139" s="145">
        <f>-(HLOOKUP(Noise_3dB_bands,Sleep_disturbance_values_3dB_table,2,0))</f>
        <v>-40.406276459274167</v>
      </c>
      <c r="F139" s="145">
        <f>-(HLOOKUP(Noise_3dB_bands,Sleep_disturbance_values_3dB_table,2,0)) + Without_45_with_45_48_sleep_disturbance_value</f>
        <v>-137.88873751749702</v>
      </c>
      <c r="G139" s="145">
        <f>-(HLOOKUP(Noise_3dB_bands,Sleep_disturbance_values_3dB_table,2,0)) +Without_45_with_48_51_sleep_disturbance_value</f>
        <v>-258.45260984603851</v>
      </c>
      <c r="H139" s="145">
        <f>-(HLOOKUP(Noise_3dB_bands,Sleep_disturbance_values_3dB_table,2,0)) +Without_45_with_51_54_sleep_disturbance_value</f>
        <v>-402.09789344489877</v>
      </c>
      <c r="I139" s="145">
        <f>-(HLOOKUP(Noise_3dB_bands,Sleep_disturbance_values_3dB_table,2,0)) +Without_45_with_54_57_sleep_disturbance_value</f>
        <v>-568.82458831407689</v>
      </c>
      <c r="J139" s="145">
        <f>-(HLOOKUP(Noise_3dB_bands,Sleep_disturbance_values_3dB_table,2,0)) + Without_45_with_57_60_sleep_disturbance_value</f>
        <v>-758.63269445357412</v>
      </c>
      <c r="K139" s="145">
        <f>-(HLOOKUP(Noise_3dB_bands,Sleep_disturbance_values_3dB_table,2,0)) +Without_45_with_60_63_sleep_disturbance_value</f>
        <v>-971.52221186338988</v>
      </c>
      <c r="L139" s="145">
        <f>-(HLOOKUP(Noise_3dB_bands,Sleep_disturbance_values_3dB_table,2,0)) +Without_45_with_63_66_sleep_disturbance_value</f>
        <v>-1202.36393803901</v>
      </c>
      <c r="M139" s="145">
        <f>-(HLOOKUP(Noise_3dB_bands,Sleep_disturbance_values_3dB_table,2,0)) +Without_45_with_66_69_sleep_disturbance_value</f>
        <v>-1434.4879648407591</v>
      </c>
      <c r="N139" s="145">
        <f>-(HLOOKUP(Noise_3dB_bands,Sleep_disturbance_values_3dB_table,2,0)) +Without_45_with_69_72_sleep_disturbance_value</f>
        <v>-1666.6119916425082</v>
      </c>
      <c r="O139" s="145">
        <f>-(HLOOKUP(Noise_3dB_bands,Sleep_disturbance_values_3dB_table,2,0)) +Without_45_with_72_75_sleep_disturbance_value</f>
        <v>-1898.7360184442573</v>
      </c>
      <c r="P139" s="145">
        <f>-(HLOOKUP(Noise_3dB_bands,Sleep_disturbance_values_3dB_table,2,0)) +Without_45_with_75_78_sleep_disturbance_value</f>
        <v>-2130.8600452460064</v>
      </c>
      <c r="Q139" s="145">
        <f>-(HLOOKUP(Noise_3dB_bands,Sleep_disturbance_values_3dB_table,2,0)) +Without_45_with_78_81_sleep_disturbance_value</f>
        <v>-2362.9840720477555</v>
      </c>
      <c r="R139" s="26" t="s">
        <v>120</v>
      </c>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row>
    <row r="140" spans="1:95" s="25" customFormat="1" ht="15" hidden="1" customHeight="1" outlineLevel="1" x14ac:dyDescent="0.25">
      <c r="A140" s="27"/>
      <c r="B140" s="135" t="s">
        <v>17</v>
      </c>
      <c r="C140" s="152"/>
      <c r="D140" s="145">
        <f>-Without_45_with_45_48_sleep_disturbance_value</f>
        <v>40.406276459274167</v>
      </c>
      <c r="E140" s="145">
        <v>0</v>
      </c>
      <c r="F140" s="145">
        <f>-(HLOOKUP(Noise_3dB_bands,Sleep_disturbance_values_3dB_table,2,0))</f>
        <v>-97.482461058222853</v>
      </c>
      <c r="G140" s="145">
        <f>-(HLOOKUP(Noise_3dB_bands,Sleep_disturbance_values_3dB_table,2,0))+Without_45_48_with_48_51_sleep_disturbance_value</f>
        <v>-218.04633338676433</v>
      </c>
      <c r="H140" s="145">
        <f>-(HLOOKUP(Noise_3dB_bands,Sleep_disturbance_values_3dB_table,2,0))+Without_45_48_with_51_54_sleep_disturbance_value</f>
        <v>-361.69161698562459</v>
      </c>
      <c r="I140" s="145">
        <f>-(HLOOKUP(Noise_3dB_bands,Sleep_disturbance_values_3dB_table,2,0))+Without_45_48_with_54_57_sleep_disturbance_value</f>
        <v>-528.41831185480282</v>
      </c>
      <c r="J140" s="145">
        <f>-(HLOOKUP(Noise_3dB_bands,Sleep_disturbance_values_3dB_table,2,0))+Without_45_48_with_57_60_sleep_disturbance_value</f>
        <v>-718.22641799430005</v>
      </c>
      <c r="K140" s="145">
        <f>-(HLOOKUP(Noise_3dB_bands,Sleep_disturbance_values_3dB_table,2,0))+Without_45_48_with_60_63_sleep_disturbance_value</f>
        <v>-931.11593540411582</v>
      </c>
      <c r="L140" s="145">
        <f>-(HLOOKUP(Noise_3dB_bands,Sleep_disturbance_values_3dB_table,2,0))+Without_45_48_with_63_66_sleep_disturbance_value</f>
        <v>-1161.9576615797359</v>
      </c>
      <c r="M140" s="145">
        <f>-(HLOOKUP(Noise_3dB_bands,Sleep_disturbance_values_3dB_table,2,0))+Without_45_48_with_66_69_sleep_disturbance_value</f>
        <v>-1394.081688381485</v>
      </c>
      <c r="N140" s="145">
        <f>-(HLOOKUP(Noise_3dB_bands,Sleep_disturbance_values_3dB_table,2,0))+Without_45_48_with_69_72_sleep_disturbance_value</f>
        <v>-1626.2057151832341</v>
      </c>
      <c r="O140" s="145">
        <f>-(HLOOKUP(Noise_3dB_bands,Sleep_disturbance_values_3dB_table,2,0))+Without_45_48_with_72_75_sleep_disturbance_value</f>
        <v>-1858.3297419849832</v>
      </c>
      <c r="P140" s="145">
        <f>-(HLOOKUP(Noise_3dB_bands,Sleep_disturbance_values_3dB_table,2,0))+Without_45_48_with_75_78_sleep_disturbance_value</f>
        <v>-2090.4537687867323</v>
      </c>
      <c r="Q140" s="145">
        <f>-(HLOOKUP(Noise_3dB_bands,Sleep_disturbance_values_3dB_table,2,0))+Without_45_48_with_78_81_sleep_disturbance_value</f>
        <v>-2322.5777955884814</v>
      </c>
      <c r="R140" s="26" t="s">
        <v>121</v>
      </c>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row>
    <row r="141" spans="1:95" s="25" customFormat="1" ht="15" hidden="1" customHeight="1" outlineLevel="1" x14ac:dyDescent="0.25">
      <c r="A141" s="27"/>
      <c r="B141" s="135" t="s">
        <v>18</v>
      </c>
      <c r="C141" s="152"/>
      <c r="D141" s="145">
        <f>-Without_45_with_48_51_sleep_disturbance_value</f>
        <v>137.88873751749702</v>
      </c>
      <c r="E141" s="145">
        <f>-Without_45_48_with_48_51_sleep_disturbance_value</f>
        <v>97.482461058222853</v>
      </c>
      <c r="F141" s="145">
        <v>0</v>
      </c>
      <c r="G141" s="145">
        <f>-(HLOOKUP(Noise_3dB_bands,Sleep_disturbance_values_3dB_table,2,0))</f>
        <v>-120.56387232854148</v>
      </c>
      <c r="H141" s="145">
        <f>-(HLOOKUP(Noise_3dB_bands,Sleep_disturbance_values_3dB_table,2,0))+Without_48_51_with_51_54_sleep_disturbance_value</f>
        <v>-264.20915592740175</v>
      </c>
      <c r="I141" s="145">
        <f>-(HLOOKUP(Noise_3dB_bands,Sleep_disturbance_values_3dB_table,2,0))+Without_48_51_with_54_57_sleep_disturbance_value</f>
        <v>-430.93585079657993</v>
      </c>
      <c r="J141" s="145">
        <f>-(HLOOKUP(Noise_3dB_bands,Sleep_disturbance_values_3dB_table,2,0))+Without_48_51_with_57_60_sleep_disturbance_value</f>
        <v>-620.74395693607721</v>
      </c>
      <c r="K141" s="145">
        <f>-(HLOOKUP(Noise_3dB_bands,Sleep_disturbance_values_3dB_table,2,0))+Without_48_51_with_60_63_sleep_disturbance_value</f>
        <v>-833.63347434589286</v>
      </c>
      <c r="L141" s="145">
        <f>-(HLOOKUP(Noise_3dB_bands,Sleep_disturbance_values_3dB_table,2,0))+Without_48_51_with_63_66_sleep_disturbance_value</f>
        <v>-1064.4752005215128</v>
      </c>
      <c r="M141" s="145">
        <f>-(HLOOKUP(Noise_3dB_bands,Sleep_disturbance_values_3dB_table,2,0))+Without_48_51_with_66_69_sleep_disturbance_value</f>
        <v>-1296.5992273232619</v>
      </c>
      <c r="N141" s="145">
        <f>-(HLOOKUP(Noise_3dB_bands,Sleep_disturbance_values_3dB_table,2,0))+Without_48_51_with_69_72_sleep_disturbance_value</f>
        <v>-1528.723254125011</v>
      </c>
      <c r="O141" s="145">
        <f>-(HLOOKUP(Noise_3dB_bands,Sleep_disturbance_values_3dB_table,2,0))+Without_48_51_with_72_75_sleep_disturbance_value</f>
        <v>-1760.84728092676</v>
      </c>
      <c r="P141" s="145">
        <f>-(HLOOKUP(Noise_3dB_bands,Sleep_disturbance_values_3dB_table,2,0))+Without_48_51_with_75_78_sleep_disturbance_value</f>
        <v>-1992.9713077285091</v>
      </c>
      <c r="Q141" s="145">
        <f>-(HLOOKUP(Noise_3dB_bands,Sleep_disturbance_values_3dB_table,2,0))+Without_48_51_with_78_81_sleep_disturbance_value</f>
        <v>-2225.0953345302582</v>
      </c>
      <c r="R141" s="26" t="s">
        <v>122</v>
      </c>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row>
    <row r="142" spans="1:95" s="25" customFormat="1" ht="15" hidden="1" customHeight="1" outlineLevel="1" x14ac:dyDescent="0.25">
      <c r="A142" s="27"/>
      <c r="B142" s="135" t="s">
        <v>19</v>
      </c>
      <c r="C142" s="152"/>
      <c r="D142" s="145">
        <f>-Without_45_with_51_54_sleep_disturbance_value</f>
        <v>258.45260984603851</v>
      </c>
      <c r="E142" s="145">
        <f>-Without_45_48_with_51_54_sleep_disturbance_value</f>
        <v>218.04633338676433</v>
      </c>
      <c r="F142" s="145">
        <f>-Without_48_51_with_51_54_sleep_disturbance_value</f>
        <v>120.56387232854148</v>
      </c>
      <c r="G142" s="145">
        <v>0</v>
      </c>
      <c r="H142" s="145">
        <f>-(HLOOKUP(Noise_3dB_bands,Sleep_disturbance_values_3dB_table,2,0))</f>
        <v>-143.64528359886029</v>
      </c>
      <c r="I142" s="145">
        <f>-(HLOOKUP(Noise_3dB_bands,Sleep_disturbance_values_3dB_table,2,0))+Without_51_54_with_54_57_sleep_disturbance_value</f>
        <v>-310.37197846803849</v>
      </c>
      <c r="J142" s="145">
        <f>-(HLOOKUP(Noise_3dB_bands,Sleep_disturbance_values_3dB_table,2,0))+Without_51_54_with_57_60_sleep_disturbance_value</f>
        <v>-500.18008460753572</v>
      </c>
      <c r="K142" s="145">
        <f>-(HLOOKUP(Noise_3dB_bands,Sleep_disturbance_values_3dB_table,2,0))+Without_51_54_with_60_63_sleep_disturbance_value</f>
        <v>-713.06960201735137</v>
      </c>
      <c r="L142" s="145">
        <f>-(HLOOKUP(Noise_3dB_bands,Sleep_disturbance_values_3dB_table,2,0))+Without_51_54_with_63_66_sleep_disturbance_value</f>
        <v>-943.91132819297138</v>
      </c>
      <c r="M142" s="145">
        <f>-(HLOOKUP(Noise_3dB_bands,Sleep_disturbance_values_3dB_table,2,0))+Without_51_54_with_66_69_sleep_disturbance_value</f>
        <v>-1176.0353549947204</v>
      </c>
      <c r="N142" s="145">
        <f>-(HLOOKUP(Noise_3dB_bands,Sleep_disturbance_values_3dB_table,2,0))+Without_51_54_with_69_72_sleep_disturbance_value</f>
        <v>-1408.1593817964695</v>
      </c>
      <c r="O142" s="145">
        <f>-(HLOOKUP(Noise_3dB_bands,Sleep_disturbance_values_3dB_table,2,0))+Without_51_54_with_72_75_sleep_disturbance_value</f>
        <v>-1640.2834085982186</v>
      </c>
      <c r="P142" s="145">
        <f>-(HLOOKUP(Noise_3dB_bands,Sleep_disturbance_values_3dB_table,2,0))+Without_51_54_with_75_78_sleep_disturbance_value</f>
        <v>-1872.4074353999677</v>
      </c>
      <c r="Q142" s="145">
        <f>-(HLOOKUP(Noise_3dB_bands,Sleep_disturbance_values_3dB_table,2,0))+Without_51_54_with_78_81_sleep_disturbance_value</f>
        <v>-2104.5314622017167</v>
      </c>
      <c r="R142" s="26" t="s">
        <v>123</v>
      </c>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row>
    <row r="143" spans="1:95" s="25" customFormat="1" ht="15" hidden="1" customHeight="1" outlineLevel="1" x14ac:dyDescent="0.25">
      <c r="A143" s="27"/>
      <c r="B143" s="135" t="s">
        <v>20</v>
      </c>
      <c r="C143" s="152"/>
      <c r="D143" s="145">
        <f>-Without_45_with_54_57_sleep_disturbance_value</f>
        <v>402.09789344489877</v>
      </c>
      <c r="E143" s="145">
        <f>-Without_45_48_with_54_57_sleep_disturbance_value</f>
        <v>361.69161698562459</v>
      </c>
      <c r="F143" s="145">
        <f>-Without_48_51_with_54_57_sleep_disturbance_value</f>
        <v>264.20915592740175</v>
      </c>
      <c r="G143" s="145">
        <f>-Without_51_54_with_54_57_sleep_disturbance_value</f>
        <v>143.64528359886029</v>
      </c>
      <c r="H143" s="145">
        <v>0</v>
      </c>
      <c r="I143" s="145">
        <f>-(HLOOKUP(Noise_3dB_bands,Sleep_disturbance_values_3dB_table,2,0))</f>
        <v>-166.72669486917817</v>
      </c>
      <c r="J143" s="145">
        <f>-(HLOOKUP(Noise_3dB_bands,Sleep_disturbance_values_3dB_table,2,0))+Without_54_57_with_57_60_sleep_disturbance_value</f>
        <v>-356.5348010086754</v>
      </c>
      <c r="K143" s="145">
        <f>-(HLOOKUP(Noise_3dB_bands,Sleep_disturbance_values_3dB_table,2,0))+Without_54_57_with_60_63_sleep_disturbance_value</f>
        <v>-569.42431841849111</v>
      </c>
      <c r="L143" s="145">
        <f>-(HLOOKUP(Noise_3dB_bands,Sleep_disturbance_values_3dB_table,2,0))+Without_54_57_with_63_66_sleep_disturbance_value</f>
        <v>-800.26604459411112</v>
      </c>
      <c r="M143" s="145">
        <f>-(HLOOKUP(Noise_3dB_bands,Sleep_disturbance_values_3dB_table,2,0))+Without_54_57_with_66_69_sleep_disturbance_value</f>
        <v>-1032.3900713958601</v>
      </c>
      <c r="N143" s="145">
        <f>-(HLOOKUP(Noise_3dB_bands,Sleep_disturbance_values_3dB_table,2,0))+Without_54_57_with_69_72_sleep_disturbance_value</f>
        <v>-1264.5140981976092</v>
      </c>
      <c r="O143" s="145">
        <f>-(HLOOKUP(Noise_3dB_bands,Sleep_disturbance_values_3dB_table,2,0))+Without_54_57_with_72_75_sleep_disturbance_value</f>
        <v>-1496.6381249993583</v>
      </c>
      <c r="P143" s="145">
        <f>-(HLOOKUP(Noise_3dB_bands,Sleep_disturbance_values_3dB_table,2,0))+Without_54_57_with_75_78_sleep_disturbance_value</f>
        <v>-1728.7621518011074</v>
      </c>
      <c r="Q143" s="145">
        <f>-(HLOOKUP(Noise_3dB_bands,Sleep_disturbance_values_3dB_table,2,0))+Without_54_57_with_78_81_sleep_disturbance_value</f>
        <v>-1960.8861786028565</v>
      </c>
      <c r="R143" s="26" t="s">
        <v>124</v>
      </c>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row>
    <row r="144" spans="1:95" s="25" customFormat="1" ht="15" hidden="1" customHeight="1" outlineLevel="1" x14ac:dyDescent="0.25">
      <c r="A144" s="27"/>
      <c r="B144" s="135" t="s">
        <v>21</v>
      </c>
      <c r="C144" s="152"/>
      <c r="D144" s="145">
        <f>-Without_45_with_57_60_sleep_disturbance_value</f>
        <v>568.82458831407689</v>
      </c>
      <c r="E144" s="145">
        <f>-Without_45_48_with_57_60_sleep_disturbance_value</f>
        <v>528.41831185480282</v>
      </c>
      <c r="F144" s="145">
        <f>-Without_48_51_with_57_60_sleep_disturbance_value</f>
        <v>430.93585079657993</v>
      </c>
      <c r="G144" s="145">
        <f>-Without_51_54_with_57_60_sleep_disturbance_value</f>
        <v>310.37197846803849</v>
      </c>
      <c r="H144" s="145">
        <f>-Without_54_57_with_57_60_sleep_disturbance_value</f>
        <v>166.72669486917817</v>
      </c>
      <c r="I144" s="145">
        <v>0</v>
      </c>
      <c r="J144" s="145">
        <f>-(HLOOKUP(Noise_3dB_bands,Sleep_disturbance_values_3dB_table,2,0))</f>
        <v>-189.80810613949723</v>
      </c>
      <c r="K144" s="145">
        <f>-(HLOOKUP(Noise_3dB_bands,Sleep_disturbance_values_3dB_table,2,0))+Without_57_60_with_60_63_sleep_disturbance_value</f>
        <v>-402.69762354931294</v>
      </c>
      <c r="L144" s="145">
        <f>-(HLOOKUP(Noise_3dB_bands,Sleep_disturbance_values_3dB_table,2,0))+Without_57_60_with_63_66_sleep_disturbance_value</f>
        <v>-633.53934972493289</v>
      </c>
      <c r="M144" s="145">
        <f>-(HLOOKUP(Noise_3dB_bands,Sleep_disturbance_values_3dB_table,2,0))+Without_57_60_with_66_69_sleep_disturbance_value</f>
        <v>-865.66337652668199</v>
      </c>
      <c r="N144" s="145">
        <f>-(HLOOKUP(Noise_3dB_bands,Sleep_disturbance_values_3dB_table,2,0))+Without_57_60_with_69_72_sleep_disturbance_value</f>
        <v>-1097.7874033284311</v>
      </c>
      <c r="O144" s="145">
        <f>-(HLOOKUP(Noise_3dB_bands,Sleep_disturbance_values_3dB_table,2,0))+Without_57_60_with_72_75_sleep_disturbance_value</f>
        <v>-1329.9114301301802</v>
      </c>
      <c r="P144" s="145">
        <f>-(HLOOKUP(Noise_3dB_bands,Sleep_disturbance_values_3dB_table,2,0))+Without_57_60_with_75_78_sleep_disturbance_value</f>
        <v>-1562.0354569319293</v>
      </c>
      <c r="Q144" s="145">
        <f>-(HLOOKUP(Noise_3dB_bands,Sleep_disturbance_values_3dB_table,2,0))+Without_57_60_with_78_81_sleep_disturbance_value</f>
        <v>-1794.1594837336784</v>
      </c>
      <c r="R144" s="26" t="s">
        <v>125</v>
      </c>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row>
    <row r="145" spans="1:96" s="25" customFormat="1" ht="15" hidden="1" customHeight="1" outlineLevel="1" x14ac:dyDescent="0.25">
      <c r="A145" s="27"/>
      <c r="B145" s="135" t="s">
        <v>22</v>
      </c>
      <c r="C145" s="152"/>
      <c r="D145" s="145">
        <f>-Without_45_with_60_63_sleep_disturbance_value</f>
        <v>758.63269445357412</v>
      </c>
      <c r="E145" s="145">
        <f>-Without_45_48_with_60_63_sleep_disturbance_value</f>
        <v>718.22641799430005</v>
      </c>
      <c r="F145" s="145">
        <f>-Without_48_51_with_60_63_sleep_disturbance_value</f>
        <v>620.74395693607721</v>
      </c>
      <c r="G145" s="145">
        <f>-Without_51_54_with_60_63_sleep_disturbance_value</f>
        <v>500.18008460753572</v>
      </c>
      <c r="H145" s="145">
        <f>-Without_54_57_with_60_63_sleep_disturbance_value</f>
        <v>356.5348010086754</v>
      </c>
      <c r="I145" s="145">
        <f>-Without_57_60_with_60_63_sleep_disturbance_value</f>
        <v>189.80810613949723</v>
      </c>
      <c r="J145" s="145">
        <v>0</v>
      </c>
      <c r="K145" s="145">
        <f>-(HLOOKUP(Noise_3dB_bands,Sleep_disturbance_values_3dB_table,2,0))</f>
        <v>-212.88951740981571</v>
      </c>
      <c r="L145" s="145">
        <f>-(HLOOKUP(Noise_3dB_bands,Sleep_disturbance_values_3dB_table,2,0))+Without_60_63_with_63_66_sleep_disturbance_value</f>
        <v>-443.73124358543572</v>
      </c>
      <c r="M145" s="145">
        <f>-(HLOOKUP(Noise_3dB_bands,Sleep_disturbance_values_3dB_table,2,0))+Without_60_63_with_66_69_sleep_disturbance_value</f>
        <v>-675.85527038718476</v>
      </c>
      <c r="N145" s="145">
        <f>-(HLOOKUP(Noise_3dB_bands,Sleep_disturbance_values_3dB_table,2,0))+Without_60_63_with_69_72_sleep_disturbance_value</f>
        <v>-907.97929718893374</v>
      </c>
      <c r="O145" s="145">
        <f>-(HLOOKUP(Noise_3dB_bands,Sleep_disturbance_values_3dB_table,2,0))+Without_60_63_with_72_75_sleep_disturbance_value</f>
        <v>-1140.1033239906828</v>
      </c>
      <c r="P145" s="145">
        <f>-(HLOOKUP(Noise_3dB_bands,Sleep_disturbance_values_3dB_table,2,0))+Without_60_63_with_75_78_sleep_disturbance_value</f>
        <v>-1372.2273507924319</v>
      </c>
      <c r="Q145" s="145">
        <f>-(HLOOKUP(Noise_3dB_bands,Sleep_disturbance_values_3dB_table,2,0))+Without_60_63_with_78_81_sleep_disturbance_value</f>
        <v>-1604.351377594181</v>
      </c>
      <c r="R145" s="26" t="s">
        <v>126</v>
      </c>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row>
    <row r="146" spans="1:96" s="25" customFormat="1" ht="15" hidden="1" customHeight="1" outlineLevel="1" x14ac:dyDescent="0.25">
      <c r="A146" s="27"/>
      <c r="B146" s="135" t="s">
        <v>23</v>
      </c>
      <c r="C146" s="152"/>
      <c r="D146" s="145">
        <f>-Without_45_with_63_66_sleep_disturbance_value</f>
        <v>971.52221186338988</v>
      </c>
      <c r="E146" s="145">
        <f>-Without_45_48_with_63_66_sleep_disturbance_value</f>
        <v>931.11593540411582</v>
      </c>
      <c r="F146" s="145">
        <f>-Without_48_51_with_63_66_sleep_disturbance_value</f>
        <v>833.63347434589286</v>
      </c>
      <c r="G146" s="145">
        <f>-Without_51_54_with_63_66_sleep_disturbance_value</f>
        <v>713.06960201735137</v>
      </c>
      <c r="H146" s="145">
        <f>-Without_54_57_with_63_66_sleep_disturbance_value</f>
        <v>569.42431841849111</v>
      </c>
      <c r="I146" s="145">
        <f>-Without_57_60_with_63_66_sleep_disturbance_value</f>
        <v>402.69762354931294</v>
      </c>
      <c r="J146" s="145">
        <f>-Without_60_63_with_63_66_sleep_disturbance_value</f>
        <v>212.88951740981571</v>
      </c>
      <c r="K146" s="145">
        <v>0</v>
      </c>
      <c r="L146" s="145">
        <f>-(HLOOKUP(Noise_3dB_bands,Sleep_disturbance_values_3dB_table,2,0))</f>
        <v>-230.84172617562001</v>
      </c>
      <c r="M146" s="145">
        <f>-(HLOOKUP(Noise_3dB_bands,Sleep_disturbance_values_3dB_table,2,0))+Without_63_66_with_66_69_sleep_disturbance_value</f>
        <v>-462.96575297736905</v>
      </c>
      <c r="N146" s="145">
        <f>-(HLOOKUP(Noise_3dB_bands,Sleep_disturbance_values_3dB_table,2,0))+Without_63_66_with_69_72_sleep_disturbance_value</f>
        <v>-695.08977977911809</v>
      </c>
      <c r="O146" s="145">
        <f>-(HLOOKUP(Noise_3dB_bands,Sleep_disturbance_values_3dB_table,2,0))+Without_63_66_with_72_75_sleep_disturbance_value</f>
        <v>-927.21380658086719</v>
      </c>
      <c r="P146" s="145">
        <f>-(HLOOKUP(Noise_3dB_bands,Sleep_disturbance_values_3dB_table,2,0))+Without_63_66_with_75_78_sleep_disturbance_value</f>
        <v>-1159.3378333826163</v>
      </c>
      <c r="Q146" s="145">
        <f>-(HLOOKUP(Noise_3dB_bands,Sleep_disturbance_values_3dB_table,2,0))+Without_63_66_with_78_81_sleep_disturbance_value</f>
        <v>-1391.4618601843654</v>
      </c>
      <c r="R146" s="26" t="s">
        <v>127</v>
      </c>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row>
    <row r="147" spans="1:96" s="8" customFormat="1" ht="15" hidden="1" customHeight="1" outlineLevel="1" x14ac:dyDescent="0.25">
      <c r="A147" s="89"/>
      <c r="B147" s="135" t="s">
        <v>24</v>
      </c>
      <c r="C147" s="152"/>
      <c r="D147" s="145">
        <f>-Without_45_with_66_69_sleep_disturbance_value</f>
        <v>1202.36393803901</v>
      </c>
      <c r="E147" s="145">
        <f>-Without_45_48_with_66_69_sleep_disturbance_value</f>
        <v>1161.9576615797359</v>
      </c>
      <c r="F147" s="145">
        <f>-Without_48_51_with_66_69_sleep_disturbance_value</f>
        <v>1064.4752005215128</v>
      </c>
      <c r="G147" s="145">
        <f>-Without_51_54_with_66_69_sleep_disturbance_value</f>
        <v>943.91132819297138</v>
      </c>
      <c r="H147" s="145">
        <f>-Without_54_57_with_66_69_sleep_disturbance_value</f>
        <v>800.26604459411112</v>
      </c>
      <c r="I147" s="145">
        <f>-Without_57_60_with_66_69_sleep_disturbance_value</f>
        <v>633.53934972493289</v>
      </c>
      <c r="J147" s="145">
        <f>-Without_60_63_with_66_69_sleep_disturbance_value</f>
        <v>443.73124358543572</v>
      </c>
      <c r="K147" s="145">
        <f>-Without_63_66_with_66_69_sleep_disturbance_value</f>
        <v>230.84172617562001</v>
      </c>
      <c r="L147" s="145">
        <v>0</v>
      </c>
      <c r="M147" s="145">
        <f>-(HLOOKUP(Noise_3dB_bands,Sleep_disturbance_values_3dB_table,2,0))</f>
        <v>-232.12402680174904</v>
      </c>
      <c r="N147" s="145">
        <f>-(HLOOKUP(Noise_3dB_bands,Sleep_disturbance_values_3dB_table,2,0))+Without_66_69_with_69_72_sleep_disturbance_value</f>
        <v>-464.24805360349808</v>
      </c>
      <c r="O147" s="145">
        <f>-(HLOOKUP(Noise_3dB_bands,Sleep_disturbance_values_3dB_table,2,0))+Without_66_69_with_72_75_sleep_disturbance_value</f>
        <v>-696.37208040524706</v>
      </c>
      <c r="P147" s="145">
        <f>-(HLOOKUP(Noise_3dB_bands,Sleep_disturbance_values_3dB_table,2,0))+Without_66_69_with_75_78_sleep_disturbance_value</f>
        <v>-928.49610720699616</v>
      </c>
      <c r="Q147" s="145">
        <f>-(HLOOKUP(Noise_3dB_bands,Sleep_disturbance_values_3dB_table,2,0))+Without_66_69_with_78_81_sleep_disturbance_value</f>
        <v>-1160.6201340087453</v>
      </c>
      <c r="R147" s="26" t="s">
        <v>128</v>
      </c>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row>
    <row r="148" spans="1:96" s="8" customFormat="1" ht="15" hidden="1" customHeight="1" outlineLevel="1" x14ac:dyDescent="0.25">
      <c r="A148" s="89"/>
      <c r="B148" s="135" t="s">
        <v>25</v>
      </c>
      <c r="C148" s="152"/>
      <c r="D148" s="145">
        <f>-Without_45_with_69_72_sleep_disturbance_value</f>
        <v>1434.4879648407591</v>
      </c>
      <c r="E148" s="145">
        <f>-Without_45_48_with_69_72_sleep_disturbance_value</f>
        <v>1394.081688381485</v>
      </c>
      <c r="F148" s="145">
        <f>-Without_48_51_with_69_72_sleep_disturbance_value</f>
        <v>1296.5992273232619</v>
      </c>
      <c r="G148" s="145">
        <f>-Without_51_54_with_69_72_sleep_disturbance_value</f>
        <v>1176.0353549947204</v>
      </c>
      <c r="H148" s="145">
        <f>-Without_54_57_with_69_72_sleep_disturbance_value</f>
        <v>1032.3900713958601</v>
      </c>
      <c r="I148" s="145">
        <f>-Without_57_60_with_69_72_sleep_disturbance_value</f>
        <v>865.66337652668199</v>
      </c>
      <c r="J148" s="145">
        <f>-Without_60_63_with_69_72_sleep_disturbance_value</f>
        <v>675.85527038718476</v>
      </c>
      <c r="K148" s="145">
        <f>-Without_63_66_with_69_72_sleep_disturbance_value</f>
        <v>462.96575297736905</v>
      </c>
      <c r="L148" s="145">
        <f>-Without_66_69_with_69_72_sleep_disturbance_value</f>
        <v>232.12402680174904</v>
      </c>
      <c r="M148" s="145">
        <v>0</v>
      </c>
      <c r="N148" s="145">
        <f>-(HLOOKUP(Noise_3dB_bands,Sleep_disturbance_values_3dB_table,2,0))</f>
        <v>-232.12402680174904</v>
      </c>
      <c r="O148" s="145">
        <f>-(HLOOKUP(Noise_3dB_bands,Sleep_disturbance_values_3dB_table,2,0))+Without_69_72_with_72_75_sleep_disturbance_value</f>
        <v>-464.24805360349808</v>
      </c>
      <c r="P148" s="145">
        <f>-(HLOOKUP(Noise_3dB_bands,Sleep_disturbance_values_3dB_table,2,0))+Without_69_72_with_75_78_sleep_disturbance_value</f>
        <v>-696.37208040524706</v>
      </c>
      <c r="Q148" s="145">
        <f>-(HLOOKUP(Noise_3dB_bands,Sleep_disturbance_values_3dB_table,2,0))+Without_69_72_with_78_81_sleep_disturbance_value</f>
        <v>-928.49610720699616</v>
      </c>
      <c r="R148" s="26" t="s">
        <v>129</v>
      </c>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row>
    <row r="149" spans="1:96" s="8" customFormat="1" ht="15" hidden="1" customHeight="1" outlineLevel="1" x14ac:dyDescent="0.25">
      <c r="A149" s="89"/>
      <c r="B149" s="135" t="s">
        <v>26</v>
      </c>
      <c r="C149" s="152"/>
      <c r="D149" s="145">
        <f>-Without_45_with_72_75_sleep_disturbance_value</f>
        <v>1666.6119916425082</v>
      </c>
      <c r="E149" s="145">
        <f>-Without_45_48_with_72_75_sleep_disturbance_value</f>
        <v>1626.2057151832341</v>
      </c>
      <c r="F149" s="145">
        <f>-Without_48_51_with_72_75_sleep_disturbance_value</f>
        <v>1528.723254125011</v>
      </c>
      <c r="G149" s="145">
        <f>-Without_51_54_with_72_75_sleep_disturbance_value</f>
        <v>1408.1593817964695</v>
      </c>
      <c r="H149" s="145">
        <f>-Without_54_57_with_72_75_sleep_disturbance_value</f>
        <v>1264.5140981976092</v>
      </c>
      <c r="I149" s="145">
        <f>-Without_57_60_with_72_75_sleep_disturbance_value</f>
        <v>1097.7874033284311</v>
      </c>
      <c r="J149" s="145">
        <f>-Without_60_63_with_72_75_sleep_disturbance_value</f>
        <v>907.97929718893374</v>
      </c>
      <c r="K149" s="145">
        <f>-Without_63_66_with_72_75_sleep_disturbance_value</f>
        <v>695.08977977911809</v>
      </c>
      <c r="L149" s="145">
        <f>-Without_66_69_with_72_75_sleep_disturbance_value</f>
        <v>464.24805360349808</v>
      </c>
      <c r="M149" s="145">
        <f>-Without_69_72_with_72_75_sleep_disturbance_value</f>
        <v>232.12402680174904</v>
      </c>
      <c r="N149" s="145">
        <v>0</v>
      </c>
      <c r="O149" s="145">
        <f>-(HLOOKUP(Noise_3dB_bands,Sleep_disturbance_values_3dB_table,2,0))</f>
        <v>-232.12402680174904</v>
      </c>
      <c r="P149" s="145">
        <f>-(HLOOKUP(Noise_3dB_bands,Sleep_disturbance_values_3dB_table,2,0))+Without_72_75_with_75_78_sleep_disturbance_value</f>
        <v>-464.24805360349808</v>
      </c>
      <c r="Q149" s="145">
        <f>-(HLOOKUP(Noise_3dB_bands,Sleep_disturbance_values_3dB_table,2,0))+Without_72_75_with_78_81_sleep_disturbance_value</f>
        <v>-696.37208040524706</v>
      </c>
      <c r="R149" s="26" t="s">
        <v>130</v>
      </c>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row>
    <row r="150" spans="1:96" s="8" customFormat="1" ht="15" hidden="1" customHeight="1" outlineLevel="1" x14ac:dyDescent="0.25">
      <c r="A150" s="89"/>
      <c r="B150" s="135" t="s">
        <v>27</v>
      </c>
      <c r="C150" s="152"/>
      <c r="D150" s="145">
        <f>-Without_45_with_75_78_sleep_disturbance_value</f>
        <v>1898.7360184442573</v>
      </c>
      <c r="E150" s="145">
        <f>-Without_45_48_with_75_78_sleep_disturbance_value</f>
        <v>1858.3297419849832</v>
      </c>
      <c r="F150" s="145">
        <f>-Without_48_51_with_75_78_sleep_disturbance_value</f>
        <v>1760.84728092676</v>
      </c>
      <c r="G150" s="145">
        <f>-Without_51_54_with_75_78_sleep_disturbance_value</f>
        <v>1640.2834085982186</v>
      </c>
      <c r="H150" s="145">
        <f>-Without_54_57_with_75_78_sleep_disturbance_value</f>
        <v>1496.6381249993583</v>
      </c>
      <c r="I150" s="145">
        <f>-Without_57_60_with_75_78_sleep_disturbance_value</f>
        <v>1329.9114301301802</v>
      </c>
      <c r="J150" s="145">
        <f>-Without_60_63_with_75_78_sleep_disturbance_value</f>
        <v>1140.1033239906828</v>
      </c>
      <c r="K150" s="145">
        <f>-Without_63_66_with_75_78_sleep_disturbance_value</f>
        <v>927.21380658086719</v>
      </c>
      <c r="L150" s="145">
        <f>-Without_66_69_with_75_78_sleep_disturbance_value</f>
        <v>696.37208040524706</v>
      </c>
      <c r="M150" s="145">
        <f>-Without_69_72_with_75_78_sleep_disturbance_value</f>
        <v>464.24805360349808</v>
      </c>
      <c r="N150" s="145">
        <f>-Without_72_75_with_75_78_sleep_disturbance_value</f>
        <v>232.12402680174904</v>
      </c>
      <c r="O150" s="145">
        <v>0</v>
      </c>
      <c r="P150" s="145">
        <f>-(HLOOKUP(Noise_3dB_bands,Sleep_disturbance_values_3dB_table,2,0))</f>
        <v>-232.12402680174904</v>
      </c>
      <c r="Q150" s="145">
        <f>-(HLOOKUP(Noise_3dB_bands,Sleep_disturbance_values_3dB_table,2,0))+Without_75_78_with_78_81_sleep_disturbance_value</f>
        <v>-464.24805360349808</v>
      </c>
      <c r="R150" s="26" t="s">
        <v>131</v>
      </c>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28"/>
    </row>
    <row r="151" spans="1:96" s="8" customFormat="1" ht="15" hidden="1" customHeight="1" outlineLevel="1" x14ac:dyDescent="0.25">
      <c r="A151" s="89"/>
      <c r="B151" s="135" t="s">
        <v>28</v>
      </c>
      <c r="C151" s="152"/>
      <c r="D151" s="145">
        <f>-Without_45_with_78_81_sleep_disturbance_value</f>
        <v>2130.8600452460064</v>
      </c>
      <c r="E151" s="145">
        <f>-Without_45_48_with_78_81_sleep_disturbance_value</f>
        <v>2090.4537687867323</v>
      </c>
      <c r="F151" s="145">
        <f>-Without_48_51_with_78_81_sleep_disturbance_value</f>
        <v>1992.9713077285091</v>
      </c>
      <c r="G151" s="145">
        <f>-Without_51_54_with_78_81_sleep_disturbance_value</f>
        <v>1872.4074353999677</v>
      </c>
      <c r="H151" s="145">
        <f>-Without_54_57_with_78_81_sleep_disturbance_value</f>
        <v>1728.7621518011074</v>
      </c>
      <c r="I151" s="145">
        <f>-Without_57_60_with_78_81_sleep_disturbance_value</f>
        <v>1562.0354569319293</v>
      </c>
      <c r="J151" s="145">
        <f>-Without_60_63_with_78_81_sleep_disturbance_value</f>
        <v>1372.2273507924319</v>
      </c>
      <c r="K151" s="145">
        <f>-Without_63_66_with_78_81_sleep_disturbance_value</f>
        <v>1159.3378333826163</v>
      </c>
      <c r="L151" s="145">
        <f>-Without_66_69_with_78_81_sleep_disturbance_value</f>
        <v>928.49610720699616</v>
      </c>
      <c r="M151" s="145">
        <f>-Without_69_72_with_78_81_sleep_disturbance_value</f>
        <v>696.37208040524706</v>
      </c>
      <c r="N151" s="145">
        <f>-Without_72_75_with_78_81_sleep_disturbance_value</f>
        <v>464.24805360349808</v>
      </c>
      <c r="O151" s="145">
        <f>-Without_75_78_with_78_81_sleep_disturbance_value</f>
        <v>232.12402680174904</v>
      </c>
      <c r="P151" s="145">
        <v>0</v>
      </c>
      <c r="Q151" s="145">
        <f>-(HLOOKUP(Noise_3dB_bands,Sleep_disturbance_values_3dB_table,2,0))</f>
        <v>-232.12402680174904</v>
      </c>
      <c r="R151" s="26" t="s">
        <v>132</v>
      </c>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28"/>
    </row>
    <row r="152" spans="1:96" s="8" customFormat="1" ht="15" hidden="1" customHeight="1" outlineLevel="1" x14ac:dyDescent="0.25">
      <c r="A152" s="89"/>
      <c r="B152" s="135" t="s">
        <v>29</v>
      </c>
      <c r="C152" s="153"/>
      <c r="D152" s="145">
        <f>-Without_45_with_81_sleep_disturbance_value</f>
        <v>2362.9840720477555</v>
      </c>
      <c r="E152" s="145">
        <f>-Without_45_48_with_81_sleep_disturbance_value</f>
        <v>2322.5777955884814</v>
      </c>
      <c r="F152" s="145">
        <f>-Without_48_51_with_81_sleep_disturbance_value</f>
        <v>2225.0953345302582</v>
      </c>
      <c r="G152" s="145">
        <f>-Without_51_54_with_81_sleep_disturbance_value</f>
        <v>2104.5314622017167</v>
      </c>
      <c r="H152" s="145">
        <f>-Without_54_57_with_81_sleep_disturbance_value</f>
        <v>1960.8861786028565</v>
      </c>
      <c r="I152" s="145">
        <f>-Without_57_60_with_81_sleep_disturbance_value</f>
        <v>1794.1594837336784</v>
      </c>
      <c r="J152" s="145">
        <f>-Without_60_63_with_81_sleep_disturbance_value</f>
        <v>1604.351377594181</v>
      </c>
      <c r="K152" s="145">
        <f>-Without_63_66_with_81_sleep_disturbance_value</f>
        <v>1391.4618601843654</v>
      </c>
      <c r="L152" s="145">
        <f>-Without_66_69_with_81_sleep_disturbance_value</f>
        <v>1160.6201340087453</v>
      </c>
      <c r="M152" s="145">
        <f>-Without_69_72_with_81_sleep_disturbance_value</f>
        <v>928.49610720699616</v>
      </c>
      <c r="N152" s="145">
        <f>-Without_72_75_with_81_sleep_disturbance_value</f>
        <v>696.37208040524706</v>
      </c>
      <c r="O152" s="145">
        <f>-Without_75_78_with_81_sleep_disturbance_value</f>
        <v>464.24805360349808</v>
      </c>
      <c r="P152" s="145">
        <f>-Without_78_81_with_81_sleep_disturbance_value</f>
        <v>232.12402680174904</v>
      </c>
      <c r="Q152" s="145">
        <v>0</v>
      </c>
      <c r="R152" s="26" t="s">
        <v>133</v>
      </c>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28"/>
    </row>
    <row r="153" spans="1:96" s="8" customFormat="1" ht="15" hidden="1" customHeight="1" outlineLevel="1" x14ac:dyDescent="0.25">
      <c r="A153" s="89"/>
      <c r="B153" s="89"/>
      <c r="C153" s="154"/>
      <c r="D153" s="154"/>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28"/>
    </row>
    <row r="154" spans="1:96" s="10" customFormat="1" ht="15.75" hidden="1" outlineLevel="1" x14ac:dyDescent="0.25">
      <c r="B154" s="11" t="s">
        <v>66</v>
      </c>
      <c r="C154" s="12"/>
      <c r="D154" s="13"/>
      <c r="E154" s="13"/>
    </row>
    <row r="155" spans="1:96" ht="15" hidden="1" customHeight="1" outlineLevel="1" x14ac:dyDescent="0.25">
      <c r="A155" s="131"/>
      <c r="B155" s="131"/>
      <c r="C155" s="149"/>
      <c r="D155" s="3"/>
      <c r="E155" s="3"/>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row>
    <row r="156" spans="1:96" ht="15" hidden="1" customHeight="1" outlineLevel="2" x14ac:dyDescent="0.25">
      <c r="A156" s="131"/>
      <c r="B156" s="191" t="s">
        <v>63</v>
      </c>
      <c r="C156" s="131"/>
      <c r="D156" s="17" t="s">
        <v>64</v>
      </c>
      <c r="E156" s="18">
        <v>45</v>
      </c>
      <c r="F156" s="19">
        <v>46</v>
      </c>
      <c r="G156" s="18">
        <v>47</v>
      </c>
      <c r="H156" s="19">
        <v>48</v>
      </c>
      <c r="I156" s="18">
        <v>49</v>
      </c>
      <c r="J156" s="19">
        <v>50</v>
      </c>
      <c r="K156" s="18">
        <v>51</v>
      </c>
      <c r="L156" s="19">
        <v>52</v>
      </c>
      <c r="M156" s="18">
        <v>53</v>
      </c>
      <c r="N156" s="19">
        <v>54</v>
      </c>
      <c r="O156" s="18">
        <v>55</v>
      </c>
      <c r="P156" s="19">
        <v>56</v>
      </c>
      <c r="Q156" s="18">
        <v>57</v>
      </c>
      <c r="R156" s="19">
        <v>58</v>
      </c>
      <c r="S156" s="18">
        <v>59</v>
      </c>
      <c r="T156" s="19">
        <v>60</v>
      </c>
      <c r="U156" s="18">
        <v>61</v>
      </c>
      <c r="V156" s="19">
        <v>62</v>
      </c>
      <c r="W156" s="18">
        <v>63</v>
      </c>
      <c r="X156" s="19">
        <v>64</v>
      </c>
      <c r="Y156" s="18">
        <v>65</v>
      </c>
      <c r="Z156" s="19">
        <v>66</v>
      </c>
      <c r="AA156" s="18">
        <v>67</v>
      </c>
      <c r="AB156" s="19">
        <v>68</v>
      </c>
      <c r="AC156" s="18">
        <v>69</v>
      </c>
      <c r="AD156" s="19">
        <v>70</v>
      </c>
      <c r="AE156" s="18">
        <v>71</v>
      </c>
      <c r="AF156" s="19">
        <v>72</v>
      </c>
      <c r="AG156" s="18">
        <v>73</v>
      </c>
      <c r="AH156" s="19">
        <v>74</v>
      </c>
      <c r="AI156" s="18">
        <v>75</v>
      </c>
      <c r="AJ156" s="19">
        <v>76</v>
      </c>
      <c r="AK156" s="18">
        <v>77</v>
      </c>
      <c r="AL156" s="19">
        <v>78</v>
      </c>
      <c r="AM156" s="18">
        <v>79</v>
      </c>
      <c r="AN156" s="19">
        <v>80</v>
      </c>
      <c r="AO156" s="18">
        <v>81</v>
      </c>
      <c r="AP156" s="19">
        <v>82</v>
      </c>
      <c r="AQ156" s="18">
        <v>83</v>
      </c>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row>
    <row r="157" spans="1:96" ht="15" hidden="1" customHeight="1" outlineLevel="2" x14ac:dyDescent="0.25">
      <c r="A157" s="131"/>
      <c r="B157" s="191"/>
      <c r="C157" s="147" t="s">
        <v>486</v>
      </c>
      <c r="D157" s="17">
        <v>45</v>
      </c>
      <c r="E157" s="18">
        <v>46</v>
      </c>
      <c r="F157" s="17">
        <v>47</v>
      </c>
      <c r="G157" s="18">
        <v>48</v>
      </c>
      <c r="H157" s="17">
        <v>49</v>
      </c>
      <c r="I157" s="18">
        <v>50</v>
      </c>
      <c r="J157" s="17">
        <v>51</v>
      </c>
      <c r="K157" s="18">
        <v>52</v>
      </c>
      <c r="L157" s="17">
        <v>53</v>
      </c>
      <c r="M157" s="18">
        <v>54</v>
      </c>
      <c r="N157" s="17">
        <v>55</v>
      </c>
      <c r="O157" s="18">
        <v>56</v>
      </c>
      <c r="P157" s="17">
        <v>57</v>
      </c>
      <c r="Q157" s="18">
        <v>58</v>
      </c>
      <c r="R157" s="17">
        <v>59</v>
      </c>
      <c r="S157" s="18">
        <v>60</v>
      </c>
      <c r="T157" s="17">
        <v>61</v>
      </c>
      <c r="U157" s="18">
        <v>62</v>
      </c>
      <c r="V157" s="17">
        <v>63</v>
      </c>
      <c r="W157" s="18">
        <v>64</v>
      </c>
      <c r="X157" s="17">
        <v>65</v>
      </c>
      <c r="Y157" s="18">
        <v>66</v>
      </c>
      <c r="Z157" s="17">
        <v>67</v>
      </c>
      <c r="AA157" s="18">
        <v>68</v>
      </c>
      <c r="AB157" s="17">
        <v>69</v>
      </c>
      <c r="AC157" s="18">
        <v>70</v>
      </c>
      <c r="AD157" s="17">
        <v>71</v>
      </c>
      <c r="AE157" s="18">
        <v>72</v>
      </c>
      <c r="AF157" s="17">
        <v>73</v>
      </c>
      <c r="AG157" s="18">
        <v>74</v>
      </c>
      <c r="AH157" s="17">
        <v>75</v>
      </c>
      <c r="AI157" s="18">
        <v>76</v>
      </c>
      <c r="AJ157" s="17">
        <v>77</v>
      </c>
      <c r="AK157" s="18">
        <v>78</v>
      </c>
      <c r="AL157" s="17">
        <v>79</v>
      </c>
      <c r="AM157" s="18">
        <v>80</v>
      </c>
      <c r="AN157" s="17">
        <v>81</v>
      </c>
      <c r="AO157" s="18">
        <v>82</v>
      </c>
      <c r="AP157" s="17">
        <v>83</v>
      </c>
      <c r="AQ157" s="18">
        <v>84</v>
      </c>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row>
    <row r="158" spans="1:96" ht="15" hidden="1" customHeight="1" outlineLevel="2" x14ac:dyDescent="0.25">
      <c r="A158" s="131"/>
      <c r="B158" s="131" t="s">
        <v>594</v>
      </c>
      <c r="C158" s="131">
        <f>Road_mask</f>
        <v>1</v>
      </c>
      <c r="D158" s="148">
        <f t="shared" ref="D158:AQ158" si="6">Amenity_values_road_1dB_in</f>
        <v>0</v>
      </c>
      <c r="E158" s="148">
        <f t="shared" si="6"/>
        <v>10.107599562128273</v>
      </c>
      <c r="F158" s="148">
        <f t="shared" si="6"/>
        <v>10.294081087129349</v>
      </c>
      <c r="G158" s="148">
        <f t="shared" si="6"/>
        <v>10.594232877476344</v>
      </c>
      <c r="H158" s="148">
        <f t="shared" si="6"/>
        <v>11.008054933169465</v>
      </c>
      <c r="I158" s="148">
        <f t="shared" si="6"/>
        <v>11.535547254208529</v>
      </c>
      <c r="J158" s="148">
        <f t="shared" si="6"/>
        <v>12.176709840593574</v>
      </c>
      <c r="K158" s="148">
        <f t="shared" si="6"/>
        <v>12.931542692324554</v>
      </c>
      <c r="L158" s="148">
        <f t="shared" si="6"/>
        <v>13.800045809401656</v>
      </c>
      <c r="M158" s="148">
        <f t="shared" si="6"/>
        <v>14.7822191918247</v>
      </c>
      <c r="N158" s="148">
        <f t="shared" si="6"/>
        <v>15.878062839593774</v>
      </c>
      <c r="O158" s="148">
        <f t="shared" si="6"/>
        <v>17.087576752708589</v>
      </c>
      <c r="P158" s="148">
        <f t="shared" si="6"/>
        <v>18.410760931169772</v>
      </c>
      <c r="Q158" s="148">
        <f t="shared" si="6"/>
        <v>19.847615374976826</v>
      </c>
      <c r="R158" s="148">
        <f t="shared" si="6"/>
        <v>21.3981400841298</v>
      </c>
      <c r="S158" s="148">
        <f t="shared" si="6"/>
        <v>23.062335058628651</v>
      </c>
      <c r="T158" s="148">
        <f t="shared" si="6"/>
        <v>24.840200298473775</v>
      </c>
      <c r="U158" s="148">
        <f t="shared" si="6"/>
        <v>26.731735803664865</v>
      </c>
      <c r="V158" s="148">
        <f t="shared" si="6"/>
        <v>28.736941574201566</v>
      </c>
      <c r="W158" s="148">
        <f t="shared" si="6"/>
        <v>30.855817610084845</v>
      </c>
      <c r="X158" s="148">
        <f t="shared" si="6"/>
        <v>33.088363911313742</v>
      </c>
      <c r="Y158" s="148">
        <f t="shared" si="6"/>
        <v>35.434580477888687</v>
      </c>
      <c r="Z158" s="148">
        <f t="shared" si="6"/>
        <v>37.894467309809684</v>
      </c>
      <c r="AA158" s="148">
        <f t="shared" si="6"/>
        <v>40.468024407076733</v>
      </c>
      <c r="AB158" s="148">
        <f t="shared" si="6"/>
        <v>43.155251769689656</v>
      </c>
      <c r="AC158" s="148">
        <f t="shared" si="6"/>
        <v>45.95614939764863</v>
      </c>
      <c r="AD158" s="148">
        <f t="shared" si="6"/>
        <v>48.870717290952697</v>
      </c>
      <c r="AE158" s="148">
        <f t="shared" si="6"/>
        <v>51.898955449604486</v>
      </c>
      <c r="AF158" s="148">
        <f t="shared" si="6"/>
        <v>55.040863873601545</v>
      </c>
      <c r="AG158" s="148">
        <f t="shared" si="6"/>
        <v>58.296442562944115</v>
      </c>
      <c r="AH158" s="148">
        <f t="shared" si="6"/>
        <v>61.665691517633604</v>
      </c>
      <c r="AI158" s="148">
        <f t="shared" si="6"/>
        <v>65.148610737668108</v>
      </c>
      <c r="AJ158" s="148">
        <f t="shared" si="6"/>
        <v>65.148610737668108</v>
      </c>
      <c r="AK158" s="148">
        <f t="shared" si="6"/>
        <v>65.148610737668108</v>
      </c>
      <c r="AL158" s="148">
        <f t="shared" si="6"/>
        <v>65.148610737668108</v>
      </c>
      <c r="AM158" s="148">
        <f t="shared" si="6"/>
        <v>65.148610737668108</v>
      </c>
      <c r="AN158" s="148">
        <f t="shared" si="6"/>
        <v>65.148610737668108</v>
      </c>
      <c r="AO158" s="148">
        <f t="shared" si="6"/>
        <v>65.148610737668108</v>
      </c>
      <c r="AP158" s="148">
        <f t="shared" si="6"/>
        <v>65.148610737668093</v>
      </c>
      <c r="AQ158" s="148">
        <f t="shared" si="6"/>
        <v>65.148610737668093</v>
      </c>
      <c r="AR158" s="3" t="s">
        <v>600</v>
      </c>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row>
    <row r="159" spans="1:96" ht="15" hidden="1" customHeight="1" outlineLevel="2" x14ac:dyDescent="0.25">
      <c r="A159" s="131"/>
      <c r="B159" s="131" t="s">
        <v>596</v>
      </c>
      <c r="C159" s="149">
        <f>Rail_mask</f>
        <v>0</v>
      </c>
      <c r="D159" s="148">
        <f t="shared" ref="D159:AQ159" si="7">Amenity_values_rail_1dB_in</f>
        <v>0</v>
      </c>
      <c r="E159" s="148">
        <f t="shared" si="7"/>
        <v>3.4844084845047876</v>
      </c>
      <c r="F159" s="148">
        <f t="shared" si="7"/>
        <v>3.5256215921117255</v>
      </c>
      <c r="G159" s="148">
        <f t="shared" si="7"/>
        <v>3.6739207320110734</v>
      </c>
      <c r="H159" s="148">
        <f t="shared" si="7"/>
        <v>3.9293059042028156</v>
      </c>
      <c r="I159" s="148">
        <f t="shared" si="7"/>
        <v>4.2917771086869596</v>
      </c>
      <c r="J159" s="148">
        <f t="shared" si="7"/>
        <v>4.7613343454635126</v>
      </c>
      <c r="K159" s="148">
        <f t="shared" si="7"/>
        <v>5.3379776145324636</v>
      </c>
      <c r="L159" s="148">
        <f t="shared" si="7"/>
        <v>6.0217069158938266</v>
      </c>
      <c r="M159" s="148">
        <f t="shared" si="7"/>
        <v>6.8125222495475883</v>
      </c>
      <c r="N159" s="148">
        <f t="shared" si="7"/>
        <v>7.7104236154937356</v>
      </c>
      <c r="O159" s="148">
        <f t="shared" si="7"/>
        <v>8.7154110137323144</v>
      </c>
      <c r="P159" s="148">
        <f t="shared" si="7"/>
        <v>9.8274844442632769</v>
      </c>
      <c r="Q159" s="148">
        <f t="shared" si="7"/>
        <v>11.046643907086638</v>
      </c>
      <c r="R159" s="148">
        <f t="shared" si="7"/>
        <v>12.372889402202427</v>
      </c>
      <c r="S159" s="148">
        <f t="shared" si="7"/>
        <v>13.806220929610584</v>
      </c>
      <c r="T159" s="148">
        <f t="shared" si="7"/>
        <v>15.346638489311147</v>
      </c>
      <c r="U159" s="148">
        <f t="shared" si="7"/>
        <v>16.994142081304172</v>
      </c>
      <c r="V159" s="148">
        <f t="shared" si="7"/>
        <v>18.748731705589531</v>
      </c>
      <c r="W159" s="148">
        <f t="shared" si="7"/>
        <v>20.610407362167333</v>
      </c>
      <c r="X159" s="148">
        <f t="shared" si="7"/>
        <v>22.579169051037486</v>
      </c>
      <c r="Y159" s="148">
        <f t="shared" si="7"/>
        <v>24.655016772200145</v>
      </c>
      <c r="Z159" s="148">
        <f t="shared" si="7"/>
        <v>26.837950525655067</v>
      </c>
      <c r="AA159" s="148">
        <f t="shared" si="7"/>
        <v>29.127970311402517</v>
      </c>
      <c r="AB159" s="148">
        <f t="shared" si="7"/>
        <v>31.52507612944224</v>
      </c>
      <c r="AC159" s="148">
        <f t="shared" si="7"/>
        <v>34.029267979774538</v>
      </c>
      <c r="AD159" s="148">
        <f t="shared" si="7"/>
        <v>36.640545862399144</v>
      </c>
      <c r="AE159" s="148">
        <f t="shared" si="7"/>
        <v>39.358909777316178</v>
      </c>
      <c r="AF159" s="148">
        <f t="shared" si="7"/>
        <v>42.184359724525493</v>
      </c>
      <c r="AG159" s="148">
        <f t="shared" si="7"/>
        <v>45.116895704027272</v>
      </c>
      <c r="AH159" s="148">
        <f t="shared" si="7"/>
        <v>48.156517715821479</v>
      </c>
      <c r="AI159" s="148">
        <f t="shared" si="7"/>
        <v>51.303225759908408</v>
      </c>
      <c r="AJ159" s="148">
        <f t="shared" si="7"/>
        <v>51.303225759908408</v>
      </c>
      <c r="AK159" s="148">
        <f t="shared" si="7"/>
        <v>51.303225759908408</v>
      </c>
      <c r="AL159" s="148">
        <f t="shared" si="7"/>
        <v>51.303225759908408</v>
      </c>
      <c r="AM159" s="148">
        <f t="shared" si="7"/>
        <v>51.303225759908408</v>
      </c>
      <c r="AN159" s="148">
        <f t="shared" si="7"/>
        <v>51.303225759908408</v>
      </c>
      <c r="AO159" s="148">
        <f t="shared" si="7"/>
        <v>51.303225759908408</v>
      </c>
      <c r="AP159" s="148">
        <f t="shared" si="7"/>
        <v>51.303225759908401</v>
      </c>
      <c r="AQ159" s="148">
        <f t="shared" si="7"/>
        <v>51.303225759908401</v>
      </c>
      <c r="AR159" s="3" t="s">
        <v>601</v>
      </c>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c r="CM159" s="131"/>
      <c r="CN159" s="131"/>
      <c r="CO159" s="131"/>
      <c r="CP159" s="131"/>
      <c r="CQ159" s="131"/>
    </row>
    <row r="160" spans="1:96" ht="15" hidden="1" customHeight="1" outlineLevel="2" x14ac:dyDescent="0.25">
      <c r="A160" s="131"/>
      <c r="B160" s="131" t="s">
        <v>598</v>
      </c>
      <c r="C160" s="149">
        <f>Aviation_mask</f>
        <v>0</v>
      </c>
      <c r="D160" s="148">
        <f t="shared" ref="D160:AQ160" si="8">Amenity_values_aviation_1dB_in</f>
        <v>0</v>
      </c>
      <c r="E160" s="148">
        <f t="shared" si="8"/>
        <v>13.948165765715052</v>
      </c>
      <c r="F160" s="148">
        <f t="shared" si="8"/>
        <v>15.832593937382564</v>
      </c>
      <c r="G160" s="148">
        <f t="shared" si="8"/>
        <v>17.703414091215318</v>
      </c>
      <c r="H160" s="148">
        <f t="shared" si="8"/>
        <v>19.560626227213326</v>
      </c>
      <c r="I160" s="148">
        <f t="shared" si="8"/>
        <v>21.404230345376572</v>
      </c>
      <c r="J160" s="148">
        <f t="shared" si="8"/>
        <v>23.234226445705072</v>
      </c>
      <c r="K160" s="148">
        <f t="shared" si="8"/>
        <v>25.050614528198828</v>
      </c>
      <c r="L160" s="148">
        <f t="shared" si="8"/>
        <v>26.853394592857825</v>
      </c>
      <c r="M160" s="148">
        <f t="shared" si="8"/>
        <v>28.642566639682055</v>
      </c>
      <c r="N160" s="148">
        <f t="shared" si="8"/>
        <v>30.418130668671544</v>
      </c>
      <c r="O160" s="148">
        <f t="shared" si="8"/>
        <v>32.180086679826253</v>
      </c>
      <c r="P160" s="148">
        <f t="shared" si="8"/>
        <v>33.928434673146285</v>
      </c>
      <c r="Q160" s="148">
        <f t="shared" si="8"/>
        <v>35.66317464863144</v>
      </c>
      <c r="R160" s="148">
        <f t="shared" si="8"/>
        <v>37.384306606281982</v>
      </c>
      <c r="S160" s="148">
        <f t="shared" si="8"/>
        <v>39.091830546097668</v>
      </c>
      <c r="T160" s="148">
        <f t="shared" si="8"/>
        <v>40.785746468078649</v>
      </c>
      <c r="U160" s="148">
        <f t="shared" si="8"/>
        <v>42.466054372224853</v>
      </c>
      <c r="V160" s="148">
        <f t="shared" si="8"/>
        <v>44.132754258536274</v>
      </c>
      <c r="W160" s="148">
        <f t="shared" si="8"/>
        <v>45.78584612701291</v>
      </c>
      <c r="X160" s="148">
        <f t="shared" si="8"/>
        <v>47.425329977655039</v>
      </c>
      <c r="Y160" s="148">
        <f t="shared" si="8"/>
        <v>49.051205810462207</v>
      </c>
      <c r="Z160" s="148">
        <f t="shared" si="8"/>
        <v>50.663473625434492</v>
      </c>
      <c r="AA160" s="148">
        <f t="shared" si="8"/>
        <v>52.262133422572262</v>
      </c>
      <c r="AB160" s="148">
        <f t="shared" si="8"/>
        <v>53.847185201875256</v>
      </c>
      <c r="AC160" s="148">
        <f t="shared" si="8"/>
        <v>55.418628963343387</v>
      </c>
      <c r="AD160" s="148">
        <f t="shared" si="8"/>
        <v>56.976464706976742</v>
      </c>
      <c r="AE160" s="148">
        <f t="shared" si="8"/>
        <v>58.520692432775476</v>
      </c>
      <c r="AF160" s="148">
        <f t="shared" si="8"/>
        <v>60.051312140739597</v>
      </c>
      <c r="AG160" s="148">
        <f t="shared" si="8"/>
        <v>61.568323830868586</v>
      </c>
      <c r="AH160" s="148">
        <f t="shared" si="8"/>
        <v>63.071727503162805</v>
      </c>
      <c r="AI160" s="148">
        <f t="shared" si="8"/>
        <v>64.561523157622773</v>
      </c>
      <c r="AJ160" s="148">
        <f t="shared" si="8"/>
        <v>64.561523157622773</v>
      </c>
      <c r="AK160" s="148">
        <f t="shared" si="8"/>
        <v>64.561523157622773</v>
      </c>
      <c r="AL160" s="148">
        <f t="shared" si="8"/>
        <v>64.561523157622773</v>
      </c>
      <c r="AM160" s="148">
        <f t="shared" si="8"/>
        <v>64.561523157622773</v>
      </c>
      <c r="AN160" s="148">
        <f t="shared" si="8"/>
        <v>64.561523157622773</v>
      </c>
      <c r="AO160" s="148">
        <f t="shared" si="8"/>
        <v>64.561523157622773</v>
      </c>
      <c r="AP160" s="148">
        <f t="shared" si="8"/>
        <v>64.561523157622801</v>
      </c>
      <c r="AQ160" s="148">
        <f t="shared" si="8"/>
        <v>64.561523157622801</v>
      </c>
      <c r="AR160" s="3" t="s">
        <v>602</v>
      </c>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row>
    <row r="161" spans="1:95" ht="15" hidden="1" customHeight="1" outlineLevel="2" x14ac:dyDescent="0.25">
      <c r="A161" s="131"/>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row>
    <row r="162" spans="1:95" ht="15" hidden="1" customHeight="1" outlineLevel="2" x14ac:dyDescent="0.25">
      <c r="A162" s="131"/>
      <c r="B162" s="191" t="s">
        <v>63</v>
      </c>
      <c r="C162" s="131"/>
      <c r="D162" s="17" t="s">
        <v>64</v>
      </c>
      <c r="E162" s="18">
        <v>45</v>
      </c>
      <c r="F162" s="19">
        <v>46</v>
      </c>
      <c r="G162" s="18">
        <v>47</v>
      </c>
      <c r="H162" s="19">
        <v>48</v>
      </c>
      <c r="I162" s="18">
        <v>49</v>
      </c>
      <c r="J162" s="19">
        <v>50</v>
      </c>
      <c r="K162" s="18">
        <v>51</v>
      </c>
      <c r="L162" s="19">
        <v>52</v>
      </c>
      <c r="M162" s="18">
        <v>53</v>
      </c>
      <c r="N162" s="19">
        <v>54</v>
      </c>
      <c r="O162" s="18">
        <v>55</v>
      </c>
      <c r="P162" s="19">
        <v>56</v>
      </c>
      <c r="Q162" s="18">
        <v>57</v>
      </c>
      <c r="R162" s="19">
        <v>58</v>
      </c>
      <c r="S162" s="18">
        <v>59</v>
      </c>
      <c r="T162" s="19">
        <v>60</v>
      </c>
      <c r="U162" s="18">
        <v>61</v>
      </c>
      <c r="V162" s="19">
        <v>62</v>
      </c>
      <c r="W162" s="18">
        <v>63</v>
      </c>
      <c r="X162" s="19">
        <v>64</v>
      </c>
      <c r="Y162" s="18">
        <v>65</v>
      </c>
      <c r="Z162" s="19">
        <v>66</v>
      </c>
      <c r="AA162" s="18">
        <v>67</v>
      </c>
      <c r="AB162" s="19">
        <v>68</v>
      </c>
      <c r="AC162" s="18">
        <v>69</v>
      </c>
      <c r="AD162" s="19">
        <v>70</v>
      </c>
      <c r="AE162" s="18">
        <v>71</v>
      </c>
      <c r="AF162" s="19">
        <v>72</v>
      </c>
      <c r="AG162" s="18">
        <v>73</v>
      </c>
      <c r="AH162" s="19">
        <v>74</v>
      </c>
      <c r="AI162" s="18">
        <v>75</v>
      </c>
      <c r="AJ162" s="19">
        <v>76</v>
      </c>
      <c r="AK162" s="18">
        <v>77</v>
      </c>
      <c r="AL162" s="19">
        <v>78</v>
      </c>
      <c r="AM162" s="18">
        <v>79</v>
      </c>
      <c r="AN162" s="19">
        <v>80</v>
      </c>
      <c r="AO162" s="18">
        <v>81</v>
      </c>
      <c r="AP162" s="19">
        <v>82</v>
      </c>
      <c r="AQ162" s="18">
        <v>83</v>
      </c>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row>
    <row r="163" spans="1:95" ht="15" hidden="1" customHeight="1" outlineLevel="2" x14ac:dyDescent="0.25">
      <c r="A163" s="131"/>
      <c r="B163" s="191"/>
      <c r="C163" s="131"/>
      <c r="D163" s="17">
        <v>45</v>
      </c>
      <c r="E163" s="18">
        <v>46</v>
      </c>
      <c r="F163" s="17">
        <v>47</v>
      </c>
      <c r="G163" s="18">
        <v>48</v>
      </c>
      <c r="H163" s="17">
        <v>49</v>
      </c>
      <c r="I163" s="18">
        <v>50</v>
      </c>
      <c r="J163" s="17">
        <v>51</v>
      </c>
      <c r="K163" s="18">
        <v>52</v>
      </c>
      <c r="L163" s="17">
        <v>53</v>
      </c>
      <c r="M163" s="18">
        <v>54</v>
      </c>
      <c r="N163" s="17">
        <v>55</v>
      </c>
      <c r="O163" s="18">
        <v>56</v>
      </c>
      <c r="P163" s="17">
        <v>57</v>
      </c>
      <c r="Q163" s="18">
        <v>58</v>
      </c>
      <c r="R163" s="17">
        <v>59</v>
      </c>
      <c r="S163" s="18">
        <v>60</v>
      </c>
      <c r="T163" s="17">
        <v>61</v>
      </c>
      <c r="U163" s="18">
        <v>62</v>
      </c>
      <c r="V163" s="17">
        <v>63</v>
      </c>
      <c r="W163" s="18">
        <v>64</v>
      </c>
      <c r="X163" s="17">
        <v>65</v>
      </c>
      <c r="Y163" s="18">
        <v>66</v>
      </c>
      <c r="Z163" s="17">
        <v>67</v>
      </c>
      <c r="AA163" s="18">
        <v>68</v>
      </c>
      <c r="AB163" s="17">
        <v>69</v>
      </c>
      <c r="AC163" s="18">
        <v>70</v>
      </c>
      <c r="AD163" s="17">
        <v>71</v>
      </c>
      <c r="AE163" s="18">
        <v>72</v>
      </c>
      <c r="AF163" s="17">
        <v>73</v>
      </c>
      <c r="AG163" s="18">
        <v>74</v>
      </c>
      <c r="AH163" s="17">
        <v>75</v>
      </c>
      <c r="AI163" s="18">
        <v>76</v>
      </c>
      <c r="AJ163" s="17">
        <v>77</v>
      </c>
      <c r="AK163" s="18">
        <v>78</v>
      </c>
      <c r="AL163" s="17">
        <v>79</v>
      </c>
      <c r="AM163" s="18">
        <v>80</v>
      </c>
      <c r="AN163" s="17">
        <v>81</v>
      </c>
      <c r="AO163" s="18">
        <v>82</v>
      </c>
      <c r="AP163" s="17">
        <v>83</v>
      </c>
      <c r="AQ163" s="18">
        <v>84</v>
      </c>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1"/>
      <c r="CN163" s="131"/>
      <c r="CO163" s="131"/>
      <c r="CP163" s="131"/>
      <c r="CQ163" s="131"/>
    </row>
    <row r="164" spans="1:95" ht="15" hidden="1" customHeight="1" outlineLevel="2" x14ac:dyDescent="0.25">
      <c r="A164" s="131"/>
      <c r="B164" s="131" t="s">
        <v>98</v>
      </c>
      <c r="C164" s="131"/>
      <c r="D164" s="148">
        <f>Amenity_values_road_1dB*Road_mask +Amenity_values_rail_1dB*Rail_mask +Amenity_values_aviation_1dB*Aviation_mask</f>
        <v>0</v>
      </c>
      <c r="E164" s="148">
        <f>Amenity_values_road_1dB*Road_mask +Amenity_values_rail_1dB*Rail_mask +Amenity_values_aviation_1dB*Aviation_mask</f>
        <v>10.107599562128273</v>
      </c>
      <c r="F164" s="148">
        <f t="shared" ref="F164:AQ164" si="9">Amenity_values_road_1dB*Road_mask +Amenity_values_rail_1dB*Rail_mask +Amenity_values_aviation_1dB*Aviation_mask</f>
        <v>10.294081087129349</v>
      </c>
      <c r="G164" s="148">
        <f t="shared" si="9"/>
        <v>10.594232877476344</v>
      </c>
      <c r="H164" s="148">
        <f t="shared" si="9"/>
        <v>11.008054933169465</v>
      </c>
      <c r="I164" s="148">
        <f t="shared" si="9"/>
        <v>11.535547254208529</v>
      </c>
      <c r="J164" s="148">
        <f t="shared" si="9"/>
        <v>12.176709840593574</v>
      </c>
      <c r="K164" s="148">
        <f t="shared" si="9"/>
        <v>12.931542692324554</v>
      </c>
      <c r="L164" s="148">
        <f t="shared" si="9"/>
        <v>13.800045809401656</v>
      </c>
      <c r="M164" s="148">
        <f t="shared" si="9"/>
        <v>14.7822191918247</v>
      </c>
      <c r="N164" s="148">
        <f t="shared" si="9"/>
        <v>15.878062839593774</v>
      </c>
      <c r="O164" s="148">
        <f t="shared" si="9"/>
        <v>17.087576752708589</v>
      </c>
      <c r="P164" s="148">
        <f t="shared" si="9"/>
        <v>18.410760931169772</v>
      </c>
      <c r="Q164" s="148">
        <f t="shared" si="9"/>
        <v>19.847615374976826</v>
      </c>
      <c r="R164" s="148">
        <f t="shared" si="9"/>
        <v>21.3981400841298</v>
      </c>
      <c r="S164" s="148">
        <f t="shared" si="9"/>
        <v>23.062335058628651</v>
      </c>
      <c r="T164" s="148">
        <f t="shared" si="9"/>
        <v>24.840200298473775</v>
      </c>
      <c r="U164" s="148">
        <f t="shared" si="9"/>
        <v>26.731735803664865</v>
      </c>
      <c r="V164" s="148">
        <f t="shared" si="9"/>
        <v>28.736941574201566</v>
      </c>
      <c r="W164" s="148">
        <f t="shared" si="9"/>
        <v>30.855817610084845</v>
      </c>
      <c r="X164" s="148">
        <f t="shared" si="9"/>
        <v>33.088363911313742</v>
      </c>
      <c r="Y164" s="148">
        <f t="shared" si="9"/>
        <v>35.434580477888687</v>
      </c>
      <c r="Z164" s="148">
        <f t="shared" si="9"/>
        <v>37.894467309809684</v>
      </c>
      <c r="AA164" s="148">
        <f t="shared" si="9"/>
        <v>40.468024407076733</v>
      </c>
      <c r="AB164" s="148">
        <f t="shared" si="9"/>
        <v>43.155251769689656</v>
      </c>
      <c r="AC164" s="148">
        <f t="shared" si="9"/>
        <v>45.95614939764863</v>
      </c>
      <c r="AD164" s="148">
        <f t="shared" si="9"/>
        <v>48.870717290952697</v>
      </c>
      <c r="AE164" s="148">
        <f t="shared" si="9"/>
        <v>51.898955449604486</v>
      </c>
      <c r="AF164" s="148">
        <f t="shared" si="9"/>
        <v>55.040863873601545</v>
      </c>
      <c r="AG164" s="148">
        <f t="shared" si="9"/>
        <v>58.296442562944115</v>
      </c>
      <c r="AH164" s="148">
        <f t="shared" si="9"/>
        <v>61.665691517633604</v>
      </c>
      <c r="AI164" s="148">
        <f t="shared" si="9"/>
        <v>65.148610737668108</v>
      </c>
      <c r="AJ164" s="148">
        <f t="shared" si="9"/>
        <v>65.148610737668108</v>
      </c>
      <c r="AK164" s="148">
        <f t="shared" si="9"/>
        <v>65.148610737668108</v>
      </c>
      <c r="AL164" s="148">
        <f t="shared" si="9"/>
        <v>65.148610737668108</v>
      </c>
      <c r="AM164" s="148">
        <f t="shared" si="9"/>
        <v>65.148610737668108</v>
      </c>
      <c r="AN164" s="148">
        <f t="shared" si="9"/>
        <v>65.148610737668108</v>
      </c>
      <c r="AO164" s="148">
        <f t="shared" si="9"/>
        <v>65.148610737668108</v>
      </c>
      <c r="AP164" s="148">
        <f t="shared" si="9"/>
        <v>65.148610737668093</v>
      </c>
      <c r="AQ164" s="148">
        <f t="shared" si="9"/>
        <v>65.148610737668093</v>
      </c>
      <c r="AR164" s="3" t="s">
        <v>134</v>
      </c>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c r="CM164" s="131"/>
      <c r="CN164" s="131"/>
      <c r="CO164" s="131"/>
      <c r="CP164" s="131"/>
      <c r="CQ164" s="131"/>
    </row>
    <row r="165" spans="1:95" ht="15" hidden="1" customHeight="1" outlineLevel="2" x14ac:dyDescent="0.25">
      <c r="A165" s="131"/>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c r="CM165" s="131"/>
      <c r="CN165" s="131"/>
      <c r="CO165" s="131"/>
      <c r="CP165" s="131"/>
      <c r="CQ165" s="131"/>
    </row>
    <row r="166" spans="1:95" ht="15" hidden="1" customHeight="1" outlineLevel="2" x14ac:dyDescent="0.25">
      <c r="A166" s="131"/>
      <c r="C166" s="176" t="s">
        <v>814</v>
      </c>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3"/>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row>
    <row r="167" spans="1:95" ht="15" hidden="1" customHeight="1" outlineLevel="2" x14ac:dyDescent="0.25">
      <c r="A167" s="131"/>
      <c r="B167" s="171" t="s">
        <v>760</v>
      </c>
      <c r="C167" s="177" t="s">
        <v>16</v>
      </c>
      <c r="D167" s="148">
        <v>1</v>
      </c>
      <c r="E167" s="148">
        <v>1</v>
      </c>
      <c r="F167" s="148">
        <v>0.5</v>
      </c>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3" t="s">
        <v>761</v>
      </c>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1"/>
      <c r="CN167" s="131"/>
      <c r="CO167" s="131"/>
      <c r="CP167" s="131"/>
      <c r="CQ167" s="131"/>
    </row>
    <row r="168" spans="1:95" ht="15" hidden="1" customHeight="1" outlineLevel="2" x14ac:dyDescent="0.25">
      <c r="A168" s="131"/>
      <c r="B168" s="171" t="s">
        <v>758</v>
      </c>
      <c r="C168" s="177" t="s">
        <v>17</v>
      </c>
      <c r="D168" s="148"/>
      <c r="E168" s="148"/>
      <c r="F168" s="148">
        <v>0.5</v>
      </c>
      <c r="G168" s="148">
        <v>1</v>
      </c>
      <c r="H168" s="148">
        <v>1</v>
      </c>
      <c r="I168" s="148">
        <v>0.5</v>
      </c>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3" t="s">
        <v>762</v>
      </c>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1"/>
      <c r="CN168" s="131"/>
      <c r="CO168" s="131"/>
      <c r="CP168" s="131"/>
      <c r="CQ168" s="131"/>
    </row>
    <row r="169" spans="1:95" ht="15" hidden="1" customHeight="1" outlineLevel="2" x14ac:dyDescent="0.25">
      <c r="A169" s="131"/>
      <c r="B169" s="171" t="s">
        <v>759</v>
      </c>
      <c r="C169" s="177" t="s">
        <v>18</v>
      </c>
      <c r="D169" s="148"/>
      <c r="E169" s="148"/>
      <c r="F169" s="148"/>
      <c r="G169" s="148"/>
      <c r="H169" s="148"/>
      <c r="I169" s="148">
        <v>0.5</v>
      </c>
      <c r="J169" s="148">
        <v>1</v>
      </c>
      <c r="K169" s="148">
        <v>1</v>
      </c>
      <c r="L169" s="148">
        <v>0.5</v>
      </c>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3" t="s">
        <v>763</v>
      </c>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row>
    <row r="170" spans="1:95" ht="15" hidden="1" customHeight="1" outlineLevel="2" x14ac:dyDescent="0.25">
      <c r="A170" s="131"/>
      <c r="B170" s="131"/>
      <c r="C170" s="177" t="s">
        <v>19</v>
      </c>
      <c r="D170" s="148"/>
      <c r="E170" s="148"/>
      <c r="F170" s="148"/>
      <c r="G170" s="148"/>
      <c r="H170" s="148"/>
      <c r="I170" s="148"/>
      <c r="J170" s="148"/>
      <c r="K170" s="148"/>
      <c r="L170" s="148">
        <v>0.5</v>
      </c>
      <c r="M170" s="148">
        <v>1</v>
      </c>
      <c r="N170" s="148">
        <v>1</v>
      </c>
      <c r="O170" s="148">
        <v>0.5</v>
      </c>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3" t="s">
        <v>764</v>
      </c>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1"/>
      <c r="CN170" s="131"/>
      <c r="CO170" s="131"/>
      <c r="CP170" s="131"/>
      <c r="CQ170" s="131"/>
    </row>
    <row r="171" spans="1:95" ht="15" hidden="1" customHeight="1" outlineLevel="2" x14ac:dyDescent="0.25">
      <c r="A171" s="131"/>
      <c r="B171" s="131"/>
      <c r="C171" s="177" t="s">
        <v>20</v>
      </c>
      <c r="D171" s="148"/>
      <c r="E171" s="148"/>
      <c r="F171" s="148"/>
      <c r="G171" s="148"/>
      <c r="H171" s="148"/>
      <c r="I171" s="148"/>
      <c r="J171" s="148"/>
      <c r="K171" s="148"/>
      <c r="L171" s="148"/>
      <c r="M171" s="148"/>
      <c r="N171" s="148"/>
      <c r="O171" s="148">
        <v>0.5</v>
      </c>
      <c r="P171" s="148">
        <v>1</v>
      </c>
      <c r="Q171" s="148">
        <v>1</v>
      </c>
      <c r="R171" s="148">
        <v>0.5</v>
      </c>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3" t="s">
        <v>765</v>
      </c>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row>
    <row r="172" spans="1:95" ht="15" hidden="1" customHeight="1" outlineLevel="2" x14ac:dyDescent="0.25">
      <c r="A172" s="131"/>
      <c r="B172" s="131"/>
      <c r="C172" s="177" t="s">
        <v>21</v>
      </c>
      <c r="D172" s="148"/>
      <c r="E172" s="148"/>
      <c r="F172" s="148"/>
      <c r="G172" s="148"/>
      <c r="H172" s="148"/>
      <c r="I172" s="148"/>
      <c r="J172" s="148"/>
      <c r="K172" s="148"/>
      <c r="L172" s="148"/>
      <c r="M172" s="148"/>
      <c r="N172" s="148"/>
      <c r="O172" s="148"/>
      <c r="P172" s="148"/>
      <c r="Q172" s="148"/>
      <c r="R172" s="148">
        <v>0.5</v>
      </c>
      <c r="S172" s="148">
        <v>1</v>
      </c>
      <c r="T172" s="148">
        <v>1</v>
      </c>
      <c r="U172" s="148">
        <v>0.5</v>
      </c>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3" t="s">
        <v>766</v>
      </c>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c r="CM172" s="131"/>
      <c r="CN172" s="131"/>
      <c r="CO172" s="131"/>
      <c r="CP172" s="131"/>
      <c r="CQ172" s="131"/>
    </row>
    <row r="173" spans="1:95" ht="15" hidden="1" customHeight="1" outlineLevel="2" x14ac:dyDescent="0.25">
      <c r="A173" s="131"/>
      <c r="B173" s="131"/>
      <c r="C173" s="177" t="s">
        <v>22</v>
      </c>
      <c r="D173" s="148"/>
      <c r="E173" s="148"/>
      <c r="F173" s="148"/>
      <c r="G173" s="148"/>
      <c r="H173" s="148"/>
      <c r="I173" s="148"/>
      <c r="J173" s="148"/>
      <c r="K173" s="148"/>
      <c r="L173" s="148"/>
      <c r="M173" s="148"/>
      <c r="N173" s="148"/>
      <c r="O173" s="148"/>
      <c r="P173" s="148"/>
      <c r="Q173" s="148"/>
      <c r="R173" s="148"/>
      <c r="S173" s="148"/>
      <c r="T173" s="148"/>
      <c r="U173" s="148">
        <v>0.5</v>
      </c>
      <c r="V173" s="148">
        <v>1</v>
      </c>
      <c r="W173" s="148">
        <v>1</v>
      </c>
      <c r="X173" s="148">
        <v>0.5</v>
      </c>
      <c r="Y173" s="148"/>
      <c r="Z173" s="148"/>
      <c r="AA173" s="148"/>
      <c r="AB173" s="148"/>
      <c r="AC173" s="148"/>
      <c r="AD173" s="148"/>
      <c r="AE173" s="148"/>
      <c r="AF173" s="148"/>
      <c r="AG173" s="148"/>
      <c r="AH173" s="148"/>
      <c r="AI173" s="148"/>
      <c r="AJ173" s="148"/>
      <c r="AK173" s="148"/>
      <c r="AL173" s="148"/>
      <c r="AM173" s="148"/>
      <c r="AN173" s="148"/>
      <c r="AO173" s="148"/>
      <c r="AP173" s="148"/>
      <c r="AQ173" s="148"/>
      <c r="AR173" s="3" t="s">
        <v>767</v>
      </c>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1"/>
      <c r="CN173" s="131"/>
      <c r="CO173" s="131"/>
      <c r="CP173" s="131"/>
      <c r="CQ173" s="131"/>
    </row>
    <row r="174" spans="1:95" ht="15" hidden="1" customHeight="1" outlineLevel="2" x14ac:dyDescent="0.25">
      <c r="A174" s="131"/>
      <c r="B174" s="131"/>
      <c r="C174" s="177" t="s">
        <v>23</v>
      </c>
      <c r="D174" s="148"/>
      <c r="E174" s="148"/>
      <c r="F174" s="148"/>
      <c r="G174" s="148"/>
      <c r="H174" s="148"/>
      <c r="I174" s="148"/>
      <c r="J174" s="148"/>
      <c r="K174" s="148"/>
      <c r="L174" s="148"/>
      <c r="M174" s="148"/>
      <c r="N174" s="148"/>
      <c r="O174" s="148"/>
      <c r="P174" s="148"/>
      <c r="Q174" s="148"/>
      <c r="R174" s="148"/>
      <c r="S174" s="148"/>
      <c r="T174" s="148"/>
      <c r="U174" s="148"/>
      <c r="V174" s="148"/>
      <c r="W174" s="148"/>
      <c r="X174" s="148">
        <v>0.5</v>
      </c>
      <c r="Y174" s="148">
        <v>1</v>
      </c>
      <c r="Z174" s="148">
        <v>1</v>
      </c>
      <c r="AA174" s="148">
        <v>0.5</v>
      </c>
      <c r="AB174" s="148"/>
      <c r="AC174" s="148"/>
      <c r="AD174" s="148"/>
      <c r="AE174" s="148"/>
      <c r="AF174" s="148"/>
      <c r="AG174" s="148"/>
      <c r="AH174" s="148"/>
      <c r="AI174" s="148"/>
      <c r="AJ174" s="148"/>
      <c r="AK174" s="148"/>
      <c r="AL174" s="148"/>
      <c r="AM174" s="148"/>
      <c r="AN174" s="148"/>
      <c r="AO174" s="148"/>
      <c r="AP174" s="148"/>
      <c r="AQ174" s="148"/>
      <c r="AR174" s="3" t="s">
        <v>768</v>
      </c>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J174" s="131"/>
      <c r="CK174" s="131"/>
      <c r="CL174" s="131"/>
      <c r="CM174" s="131"/>
      <c r="CN174" s="131"/>
      <c r="CO174" s="131"/>
      <c r="CP174" s="131"/>
      <c r="CQ174" s="131"/>
    </row>
    <row r="175" spans="1:95" ht="15" hidden="1" customHeight="1" outlineLevel="2" x14ac:dyDescent="0.25">
      <c r="A175" s="131"/>
      <c r="B175" s="131"/>
      <c r="C175" s="177" t="s">
        <v>24</v>
      </c>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v>0.5</v>
      </c>
      <c r="AB175" s="148">
        <v>1</v>
      </c>
      <c r="AC175" s="148">
        <v>1</v>
      </c>
      <c r="AD175" s="148">
        <v>0.5</v>
      </c>
      <c r="AE175" s="148"/>
      <c r="AF175" s="148"/>
      <c r="AG175" s="148"/>
      <c r="AH175" s="148"/>
      <c r="AI175" s="148"/>
      <c r="AJ175" s="148"/>
      <c r="AK175" s="148"/>
      <c r="AL175" s="148"/>
      <c r="AM175" s="148"/>
      <c r="AN175" s="148"/>
      <c r="AO175" s="148"/>
      <c r="AP175" s="148"/>
      <c r="AQ175" s="148"/>
      <c r="AR175" s="3" t="s">
        <v>769</v>
      </c>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row>
    <row r="176" spans="1:95" ht="15" hidden="1" customHeight="1" outlineLevel="2" x14ac:dyDescent="0.25">
      <c r="A176" s="131"/>
      <c r="B176" s="131"/>
      <c r="C176" s="177" t="s">
        <v>25</v>
      </c>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v>0.5</v>
      </c>
      <c r="AE176" s="148">
        <v>1</v>
      </c>
      <c r="AF176" s="148">
        <v>1</v>
      </c>
      <c r="AG176" s="148">
        <v>0.5</v>
      </c>
      <c r="AH176" s="148"/>
      <c r="AI176" s="148"/>
      <c r="AJ176" s="148"/>
      <c r="AK176" s="148"/>
      <c r="AL176" s="148"/>
      <c r="AM176" s="148"/>
      <c r="AN176" s="148"/>
      <c r="AO176" s="148"/>
      <c r="AP176" s="148"/>
      <c r="AQ176" s="148"/>
      <c r="AR176" s="3" t="s">
        <v>770</v>
      </c>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row>
    <row r="177" spans="1:95" ht="15" hidden="1" customHeight="1" outlineLevel="2" x14ac:dyDescent="0.25">
      <c r="A177" s="131"/>
      <c r="B177" s="131"/>
      <c r="C177" s="177" t="s">
        <v>26</v>
      </c>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v>0.5</v>
      </c>
      <c r="AH177" s="148">
        <v>1</v>
      </c>
      <c r="AI177" s="148">
        <v>1</v>
      </c>
      <c r="AJ177" s="148">
        <v>0.5</v>
      </c>
      <c r="AK177" s="148"/>
      <c r="AL177" s="148"/>
      <c r="AM177" s="148"/>
      <c r="AN177" s="148"/>
      <c r="AO177" s="148"/>
      <c r="AP177" s="148"/>
      <c r="AQ177" s="148"/>
      <c r="AR177" s="3" t="s">
        <v>771</v>
      </c>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row>
    <row r="178" spans="1:95" ht="15" hidden="1" customHeight="1" outlineLevel="2" x14ac:dyDescent="0.25">
      <c r="A178" s="131"/>
      <c r="B178" s="131"/>
      <c r="C178" s="177" t="s">
        <v>27</v>
      </c>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v>0.5</v>
      </c>
      <c r="AK178" s="148">
        <v>1</v>
      </c>
      <c r="AL178" s="148">
        <v>1</v>
      </c>
      <c r="AM178" s="148">
        <v>0.5</v>
      </c>
      <c r="AN178" s="148"/>
      <c r="AO178" s="148"/>
      <c r="AP178" s="148"/>
      <c r="AQ178" s="148"/>
      <c r="AR178" s="3" t="s">
        <v>772</v>
      </c>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row>
    <row r="179" spans="1:95" ht="15" hidden="1" customHeight="1" outlineLevel="2" x14ac:dyDescent="0.25">
      <c r="A179" s="131"/>
      <c r="B179" s="131"/>
      <c r="C179" s="177" t="s">
        <v>28</v>
      </c>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v>0.5</v>
      </c>
      <c r="AN179" s="148">
        <v>1</v>
      </c>
      <c r="AO179" s="148">
        <v>1</v>
      </c>
      <c r="AP179" s="148">
        <v>0.5</v>
      </c>
      <c r="AQ179" s="148"/>
      <c r="AR179" s="3" t="s">
        <v>773</v>
      </c>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row>
    <row r="180" spans="1:95" ht="15" hidden="1" customHeight="1" outlineLevel="2" x14ac:dyDescent="0.25">
      <c r="A180" s="131"/>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row>
    <row r="181" spans="1:95" ht="15" hidden="1" customHeight="1" outlineLevel="1" collapsed="1" x14ac:dyDescent="0.25">
      <c r="A181" s="131"/>
      <c r="B181" s="191" t="s">
        <v>63</v>
      </c>
      <c r="C181" s="131"/>
      <c r="D181" s="23" t="s">
        <v>16</v>
      </c>
      <c r="E181" s="24" t="s">
        <v>17</v>
      </c>
      <c r="F181" s="24" t="s">
        <v>18</v>
      </c>
      <c r="G181" s="24" t="s">
        <v>19</v>
      </c>
      <c r="H181" s="24" t="s">
        <v>20</v>
      </c>
      <c r="I181" s="24" t="s">
        <v>21</v>
      </c>
      <c r="J181" s="24" t="s">
        <v>22</v>
      </c>
      <c r="K181" s="24" t="s">
        <v>23</v>
      </c>
      <c r="L181" s="24" t="s">
        <v>24</v>
      </c>
      <c r="M181" s="24" t="s">
        <v>25</v>
      </c>
      <c r="N181" s="24" t="s">
        <v>26</v>
      </c>
      <c r="O181" s="24" t="s">
        <v>27</v>
      </c>
      <c r="P181" s="24" t="s">
        <v>28</v>
      </c>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row>
    <row r="182" spans="1:95" ht="15" hidden="1" customHeight="1" outlineLevel="1" x14ac:dyDescent="0.25">
      <c r="A182" s="131"/>
      <c r="B182" s="191"/>
      <c r="C182" s="131"/>
      <c r="D182" s="23" t="s">
        <v>17</v>
      </c>
      <c r="E182" s="24" t="s">
        <v>18</v>
      </c>
      <c r="F182" s="24" t="s">
        <v>19</v>
      </c>
      <c r="G182" s="24" t="s">
        <v>20</v>
      </c>
      <c r="H182" s="24" t="s">
        <v>21</v>
      </c>
      <c r="I182" s="24" t="s">
        <v>22</v>
      </c>
      <c r="J182" s="24" t="s">
        <v>23</v>
      </c>
      <c r="K182" s="24" t="s">
        <v>24</v>
      </c>
      <c r="L182" s="24" t="s">
        <v>25</v>
      </c>
      <c r="M182" s="24" t="s">
        <v>26</v>
      </c>
      <c r="N182" s="24" t="s">
        <v>27</v>
      </c>
      <c r="O182" s="24" t="s">
        <v>28</v>
      </c>
      <c r="P182" s="24" t="s">
        <v>29</v>
      </c>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row>
    <row r="183" spans="1:95" ht="15" hidden="1" customHeight="1" outlineLevel="1" x14ac:dyDescent="0.25">
      <c r="A183" s="131"/>
      <c r="B183" s="131" t="s">
        <v>98</v>
      </c>
      <c r="C183" s="131"/>
      <c r="D183" s="148">
        <f>SUMPRODUCT(Amenity_values_1dB_table,amenity_1_to_3_dB_band_45)</f>
        <v>15.254640105692948</v>
      </c>
      <c r="E183" s="148">
        <f>SUMPRODUCT(Amenity_values_1dB_table,amenity_1_to_3_dB_band_45_48)</f>
        <v>32.517101981314745</v>
      </c>
      <c r="F183" s="148">
        <f>SUMPRODUCT(Amenity_values_1dB_table,amenity_1_to_3_dB_band_48_51)</f>
        <v>37.776049064723217</v>
      </c>
      <c r="G183" s="148">
        <f>SUMPRODUCT(Amenity_values_1dB_table,amenity_1_to_3_dB_band_51_54)</f>
        <v>46.104093312473594</v>
      </c>
      <c r="H183" s="148">
        <f>SUMPRODUCT(Amenity_values_1dB_table,amenity_1_to_3_dB_band_54_57)</f>
        <v>57.501234724565791</v>
      </c>
      <c r="I183" s="148">
        <f>SUMPRODUCT(Amenity_values_1dB_table,amenity_1_to_3_dB_band_57_60)</f>
        <v>71.967473300999757</v>
      </c>
      <c r="J183" s="148">
        <f>SUMPRODUCT(Amenity_values_1dB_table,amenity_1_to_3_dB_band_60_63)</f>
        <v>89.502809041775706</v>
      </c>
      <c r="K183" s="148">
        <f>SUMPRODUCT(Amenity_values_1dB_table,amenity_1_to_3_dB_band_63_66)</f>
        <v>110.10724194689361</v>
      </c>
      <c r="L183" s="148">
        <f>SUMPRODUCT(Amenity_values_1dB_table,amenity_1_to_3_dB_band_66_69)</f>
        <v>133.78077201635301</v>
      </c>
      <c r="M183" s="148">
        <f>SUMPRODUCT(Amenity_values_1dB_table,amenity_1_to_3_dB_band_69_72)</f>
        <v>160.52339925015443</v>
      </c>
      <c r="N183" s="148">
        <f>SUMPRODUCT(Amenity_values_1dB_table,amenity_1_to_3_dB_band_72_75)</f>
        <v>188.53682890560782</v>
      </c>
      <c r="O183" s="148">
        <f>SUMPRODUCT(Amenity_values_1dB_table,amenity_1_to_3_dB_band_75_78)</f>
        <v>195.44583221300431</v>
      </c>
      <c r="P183" s="148">
        <f>SUMPRODUCT(Amenity_values_1dB_table,amenity_1_to_3_dB_band_78_81)</f>
        <v>195.44583221300431</v>
      </c>
      <c r="Q183" s="20" t="s">
        <v>135</v>
      </c>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row>
    <row r="184" spans="1:95" s="8" customFormat="1" ht="15" hidden="1" customHeight="1" outlineLevel="1" x14ac:dyDescent="0.25">
      <c r="A184" s="89"/>
      <c r="B184" s="22"/>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row>
    <row r="185" spans="1:95" s="25" customFormat="1" ht="15" hidden="1" customHeight="1" outlineLevel="1" x14ac:dyDescent="0.25">
      <c r="A185" s="27"/>
      <c r="B185" s="134"/>
      <c r="C185" s="91" t="s">
        <v>15</v>
      </c>
      <c r="D185" s="92" t="s">
        <v>16</v>
      </c>
      <c r="E185" s="135" t="s">
        <v>17</v>
      </c>
      <c r="F185" s="135" t="s">
        <v>18</v>
      </c>
      <c r="G185" s="135" t="s">
        <v>19</v>
      </c>
      <c r="H185" s="135" t="s">
        <v>20</v>
      </c>
      <c r="I185" s="135" t="s">
        <v>21</v>
      </c>
      <c r="J185" s="135" t="s">
        <v>22</v>
      </c>
      <c r="K185" s="135" t="s">
        <v>23</v>
      </c>
      <c r="L185" s="135" t="s">
        <v>24</v>
      </c>
      <c r="M185" s="135" t="s">
        <v>25</v>
      </c>
      <c r="N185" s="135" t="s">
        <v>26</v>
      </c>
      <c r="O185" s="135" t="s">
        <v>27</v>
      </c>
      <c r="P185" s="135" t="s">
        <v>28</v>
      </c>
      <c r="Q185" s="135" t="s">
        <v>29</v>
      </c>
      <c r="R185" s="26" t="s">
        <v>99</v>
      </c>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row>
    <row r="186" spans="1:95" s="25" customFormat="1" ht="15" hidden="1" customHeight="1" outlineLevel="1" x14ac:dyDescent="0.25">
      <c r="A186" s="27"/>
      <c r="B186" s="91" t="s">
        <v>30</v>
      </c>
      <c r="C186" s="138"/>
      <c r="D186" s="138"/>
      <c r="E186" s="138"/>
      <c r="F186" s="138"/>
      <c r="G186" s="138"/>
      <c r="H186" s="138"/>
      <c r="I186" s="138"/>
      <c r="J186" s="138"/>
      <c r="K186" s="138"/>
      <c r="L186" s="138"/>
      <c r="M186" s="138"/>
      <c r="N186" s="138"/>
      <c r="O186" s="138"/>
      <c r="P186" s="138"/>
      <c r="Q186" s="136"/>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row>
    <row r="187" spans="1:95" s="25" customFormat="1" ht="15" hidden="1" customHeight="1" outlineLevel="1" x14ac:dyDescent="0.25">
      <c r="A187" s="27"/>
      <c r="B187" s="92" t="s">
        <v>16</v>
      </c>
      <c r="C187" s="110"/>
      <c r="D187" s="145">
        <v>0</v>
      </c>
      <c r="E187" s="145">
        <f>-(HLOOKUP(Noise_3dB_bands,Amenity_values_3dB_table,2,0))</f>
        <v>-15.254640105692948</v>
      </c>
      <c r="F187" s="145">
        <f>-(HLOOKUP(Noise_3dB_bands,Amenity_values_3dB_table,2,0)) + Without_45_with_45_48_amenity_value</f>
        <v>-47.771742087007695</v>
      </c>
      <c r="G187" s="145">
        <f>-(HLOOKUP(Noise_3dB_bands,Amenity_values_3dB_table,2,0)) +Without_45_with_48_51_amenity_value</f>
        <v>-85.547791151730905</v>
      </c>
      <c r="H187" s="145">
        <f>-(HLOOKUP(Noise_3dB_bands,Amenity_values_3dB_table,2,0)) +Without_45_with_51_54_amenity_value</f>
        <v>-131.6518844642045</v>
      </c>
      <c r="I187" s="145">
        <f>-(HLOOKUP(Noise_3dB_bands,Amenity_values_3dB_table,2,0)) +Without_45_with_54_57_amenity_value</f>
        <v>-189.15311918877029</v>
      </c>
      <c r="J187" s="145">
        <f>-(HLOOKUP(Noise_3dB_bands,Amenity_values_3dB_table,2,0)) + Without_45_with_57_60_amenity_value</f>
        <v>-261.12059248977005</v>
      </c>
      <c r="K187" s="145">
        <f>-(HLOOKUP(Noise_3dB_bands,Amenity_values_3dB_table,2,0)) +Without_45_with_60_63_amenity_value</f>
        <v>-350.62340153154577</v>
      </c>
      <c r="L187" s="145">
        <f>-(HLOOKUP(Noise_3dB_bands,Amenity_values_3dB_table,2,0)) +Without_45_with_63_66_amenity_value</f>
        <v>-460.73064347843939</v>
      </c>
      <c r="M187" s="145">
        <f>-(HLOOKUP(Noise_3dB_bands,Amenity_values_3dB_table,2,0)) +Without_45_with_66_69_amenity_value</f>
        <v>-594.51141549479235</v>
      </c>
      <c r="N187" s="145">
        <f>-(HLOOKUP(Noise_3dB_bands,Amenity_values_3dB_table,2,0)) +Without_45_with_69_72_amenity_value</f>
        <v>-755.03481474494674</v>
      </c>
      <c r="O187" s="145">
        <f>-(HLOOKUP(Noise_3dB_bands,Amenity_values_3dB_table,2,0)) +Without_45_with_72_75_amenity_value</f>
        <v>-943.57164365055451</v>
      </c>
      <c r="P187" s="145">
        <f>-(HLOOKUP(Noise_3dB_bands,Amenity_values_3dB_table,2,0)) +Without_45_with_75_78_amenity_value</f>
        <v>-1139.0174758635587</v>
      </c>
      <c r="Q187" s="145">
        <f>-(HLOOKUP(Noise_3dB_bands,Amenity_values_3dB_table,2,0)) +Without_45_with_78_81_amenity_value</f>
        <v>-1334.463308076563</v>
      </c>
      <c r="R187" s="26" t="s">
        <v>149</v>
      </c>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row>
    <row r="188" spans="1:95" s="25" customFormat="1" ht="15" hidden="1" customHeight="1" outlineLevel="1" x14ac:dyDescent="0.25">
      <c r="A188" s="27"/>
      <c r="B188" s="135" t="s">
        <v>17</v>
      </c>
      <c r="C188" s="152"/>
      <c r="D188" s="145">
        <f>-Without_45_with_45_48_amenity_value</f>
        <v>15.254640105692948</v>
      </c>
      <c r="E188" s="145">
        <v>0</v>
      </c>
      <c r="F188" s="145">
        <f>-(HLOOKUP(Noise_3dB_bands,Amenity_values_3dB_table,2,0))</f>
        <v>-32.517101981314745</v>
      </c>
      <c r="G188" s="145">
        <f>-(HLOOKUP(Noise_3dB_bands,Amenity_values_3dB_table,2,0))+Without_45_48_with_48_51_amenity_value</f>
        <v>-70.293151046037963</v>
      </c>
      <c r="H188" s="145">
        <f>-(HLOOKUP(Noise_3dB_bands,Amenity_values_3dB_table,2,0))+Without_45_48_with_51_54_amenity_value</f>
        <v>-116.39724435851156</v>
      </c>
      <c r="I188" s="145">
        <f>-(HLOOKUP(Noise_3dB_bands,Amenity_values_3dB_table,2,0))+Without_45_48_with_54_57_amenity_value</f>
        <v>-173.89847908307735</v>
      </c>
      <c r="J188" s="145">
        <f>-(HLOOKUP(Noise_3dB_bands,Amenity_values_3dB_table,2,0))+Without_45_48_with_57_60_amenity_value</f>
        <v>-245.8659523840771</v>
      </c>
      <c r="K188" s="145">
        <f>-(HLOOKUP(Noise_3dB_bands,Amenity_values_3dB_table,2,0))+Without_45_48_with_60_63_amenity_value</f>
        <v>-335.36876142585282</v>
      </c>
      <c r="L188" s="145">
        <f>-(HLOOKUP(Noise_3dB_bands,Amenity_values_3dB_table,2,0))+Without_45_48_with_63_66_amenity_value</f>
        <v>-445.47600337274645</v>
      </c>
      <c r="M188" s="145">
        <f>-(HLOOKUP(Noise_3dB_bands,Amenity_values_3dB_table,2,0))+Without_45_48_with_66_69_amenity_value</f>
        <v>-579.2567753890994</v>
      </c>
      <c r="N188" s="145">
        <f>-(HLOOKUP(Noise_3dB_bands,Amenity_values_3dB_table,2,0))+Without_45_48_with_69_72_amenity_value</f>
        <v>-739.7801746392538</v>
      </c>
      <c r="O188" s="145">
        <f>-(HLOOKUP(Noise_3dB_bands,Amenity_values_3dB_table,2,0))+Without_45_48_with_72_75_amenity_value</f>
        <v>-928.31700354486156</v>
      </c>
      <c r="P188" s="145">
        <f>-(HLOOKUP(Noise_3dB_bands,Amenity_values_3dB_table,2,0))+Without_45_48_with_75_78_amenity_value</f>
        <v>-1123.7628357578658</v>
      </c>
      <c r="Q188" s="145">
        <f>-(HLOOKUP(Noise_3dB_bands,Amenity_values_3dB_table,2,0))+Without_45_48_with_78_81_amenity_value</f>
        <v>-1319.20866797087</v>
      </c>
      <c r="R188" s="26" t="s">
        <v>136</v>
      </c>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row>
    <row r="189" spans="1:95" s="25" customFormat="1" ht="15" hidden="1" customHeight="1" outlineLevel="1" x14ac:dyDescent="0.25">
      <c r="A189" s="27"/>
      <c r="B189" s="135" t="s">
        <v>18</v>
      </c>
      <c r="C189" s="152"/>
      <c r="D189" s="145">
        <f>-Without_45_with_48_51_amenity_value</f>
        <v>47.771742087007695</v>
      </c>
      <c r="E189" s="145">
        <f>-Without_45_48_with_48_51_amenity_value</f>
        <v>32.517101981314745</v>
      </c>
      <c r="F189" s="145">
        <v>0</v>
      </c>
      <c r="G189" s="145">
        <f>-(HLOOKUP(Noise_3dB_bands,Amenity_values_3dB_table,2,0))</f>
        <v>-37.776049064723217</v>
      </c>
      <c r="H189" s="145">
        <f>-(HLOOKUP(Noise_3dB_bands,Amenity_values_3dB_table,2,0))+Without_48_51_with_51_54_amenity_value</f>
        <v>-83.880142377196819</v>
      </c>
      <c r="I189" s="145">
        <f>-(HLOOKUP(Noise_3dB_bands,Amenity_values_3dB_table,2,0))+Without_48_51_with_54_57_amenity_value</f>
        <v>-141.38137710176261</v>
      </c>
      <c r="J189" s="145">
        <f>-(HLOOKUP(Noise_3dB_bands,Amenity_values_3dB_table,2,0))+Without_48_51_with_57_60_amenity_value</f>
        <v>-213.34885040276237</v>
      </c>
      <c r="K189" s="145">
        <f>-(HLOOKUP(Noise_3dB_bands,Amenity_values_3dB_table,2,0))+Without_48_51_with_60_63_amenity_value</f>
        <v>-302.85165944453809</v>
      </c>
      <c r="L189" s="145">
        <f>-(HLOOKUP(Noise_3dB_bands,Amenity_values_3dB_table,2,0))+Without_48_51_with_63_66_amenity_value</f>
        <v>-412.95890139143171</v>
      </c>
      <c r="M189" s="145">
        <f>-(HLOOKUP(Noise_3dB_bands,Amenity_values_3dB_table,2,0))+Without_48_51_with_66_69_amenity_value</f>
        <v>-546.73967340778472</v>
      </c>
      <c r="N189" s="145">
        <f>-(HLOOKUP(Noise_3dB_bands,Amenity_values_3dB_table,2,0))+Without_48_51_with_69_72_amenity_value</f>
        <v>-707.26307265793912</v>
      </c>
      <c r="O189" s="145">
        <f>-(HLOOKUP(Noise_3dB_bands,Amenity_values_3dB_table,2,0))+Without_48_51_with_72_75_amenity_value</f>
        <v>-895.79990156354688</v>
      </c>
      <c r="P189" s="145">
        <f>-(HLOOKUP(Noise_3dB_bands,Amenity_values_3dB_table,2,0))+Without_48_51_with_75_78_amenity_value</f>
        <v>-1091.2457337765511</v>
      </c>
      <c r="Q189" s="145">
        <f>-(HLOOKUP(Noise_3dB_bands,Amenity_values_3dB_table,2,0))+Without_48_51_with_78_81_amenity_value</f>
        <v>-1286.6915659895553</v>
      </c>
      <c r="R189" s="26" t="s">
        <v>137</v>
      </c>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row>
    <row r="190" spans="1:95" s="25" customFormat="1" ht="15" hidden="1" customHeight="1" outlineLevel="1" x14ac:dyDescent="0.25">
      <c r="A190" s="27"/>
      <c r="B190" s="135" t="s">
        <v>19</v>
      </c>
      <c r="C190" s="152"/>
      <c r="D190" s="145">
        <f>-Without_45_with_51_54_amenity_value</f>
        <v>85.547791151730905</v>
      </c>
      <c r="E190" s="145">
        <f>-Without_45_48_with_51_54_amenity_value</f>
        <v>70.293151046037963</v>
      </c>
      <c r="F190" s="145">
        <f>-Without_48_51_with_51_54_amenity_value</f>
        <v>37.776049064723217</v>
      </c>
      <c r="G190" s="145">
        <v>0</v>
      </c>
      <c r="H190" s="145">
        <f>-(HLOOKUP(Noise_3dB_bands,Amenity_values_3dB_table,2,0))</f>
        <v>-46.104093312473594</v>
      </c>
      <c r="I190" s="145">
        <f>-(HLOOKUP(Noise_3dB_bands,Amenity_values_3dB_table,2,0))+Without_51_54_with_54_57_amenity_value</f>
        <v>-103.60532803703938</v>
      </c>
      <c r="J190" s="145">
        <f>-(HLOOKUP(Noise_3dB_bands,Amenity_values_3dB_table,2,0))+Without_51_54_with_57_60_amenity_value</f>
        <v>-175.57280133803914</v>
      </c>
      <c r="K190" s="145">
        <f>-(HLOOKUP(Noise_3dB_bands,Amenity_values_3dB_table,2,0))+Without_51_54_with_60_63_amenity_value</f>
        <v>-265.07561037981486</v>
      </c>
      <c r="L190" s="145">
        <f>-(HLOOKUP(Noise_3dB_bands,Amenity_values_3dB_table,2,0))+Without_51_54_with_63_66_amenity_value</f>
        <v>-375.18285232670848</v>
      </c>
      <c r="M190" s="145">
        <f>-(HLOOKUP(Noise_3dB_bands,Amenity_values_3dB_table,2,0))+Without_51_54_with_66_69_amenity_value</f>
        <v>-508.9636243430615</v>
      </c>
      <c r="N190" s="145">
        <f>-(HLOOKUP(Noise_3dB_bands,Amenity_values_3dB_table,2,0))+Without_51_54_with_69_72_amenity_value</f>
        <v>-669.48702359321589</v>
      </c>
      <c r="O190" s="145">
        <f>-(HLOOKUP(Noise_3dB_bands,Amenity_values_3dB_table,2,0))+Without_51_54_with_72_75_amenity_value</f>
        <v>-858.02385249882377</v>
      </c>
      <c r="P190" s="145">
        <f>-(HLOOKUP(Noise_3dB_bands,Amenity_values_3dB_table,2,0))+Without_51_54_with_75_78_amenity_value</f>
        <v>-1053.469684711828</v>
      </c>
      <c r="Q190" s="145">
        <f>-(HLOOKUP(Noise_3dB_bands,Amenity_values_3dB_table,2,0))+Without_51_54_with_78_81_amenity_value</f>
        <v>-1248.9155169248322</v>
      </c>
      <c r="R190" s="26" t="s">
        <v>138</v>
      </c>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row>
    <row r="191" spans="1:95" s="25" customFormat="1" ht="15" hidden="1" customHeight="1" outlineLevel="1" x14ac:dyDescent="0.25">
      <c r="A191" s="27"/>
      <c r="B191" s="135" t="s">
        <v>20</v>
      </c>
      <c r="C191" s="152"/>
      <c r="D191" s="145">
        <f>-Without_45_with_54_57_amenity_value</f>
        <v>131.6518844642045</v>
      </c>
      <c r="E191" s="145">
        <f>-Without_45_48_with_54_57_amenity_value</f>
        <v>116.39724435851156</v>
      </c>
      <c r="F191" s="145">
        <f>-Without_48_51_with_54_57_amenity_value</f>
        <v>83.880142377196819</v>
      </c>
      <c r="G191" s="145">
        <f>-Without_51_54_with_54_57_amenity_value</f>
        <v>46.104093312473594</v>
      </c>
      <c r="H191" s="145">
        <v>0</v>
      </c>
      <c r="I191" s="145">
        <f>-(HLOOKUP(Noise_3dB_bands,Amenity_values_3dB_table,2,0))</f>
        <v>-57.501234724565791</v>
      </c>
      <c r="J191" s="145">
        <f>-(HLOOKUP(Noise_3dB_bands,Amenity_values_3dB_table,2,0))+Without_54_57_with_57_60_amenity_value</f>
        <v>-129.46870802556555</v>
      </c>
      <c r="K191" s="145">
        <f>-(HLOOKUP(Noise_3dB_bands,Amenity_values_3dB_table,2,0))+Without_54_57_with_60_63_amenity_value</f>
        <v>-218.97151706734127</v>
      </c>
      <c r="L191" s="145">
        <f>-(HLOOKUP(Noise_3dB_bands,Amenity_values_3dB_table,2,0))+Without_54_57_with_63_66_amenity_value</f>
        <v>-329.07875901423489</v>
      </c>
      <c r="M191" s="145">
        <f>-(HLOOKUP(Noise_3dB_bands,Amenity_values_3dB_table,2,0))+Without_54_57_with_66_69_amenity_value</f>
        <v>-462.8595310305879</v>
      </c>
      <c r="N191" s="145">
        <f>-(HLOOKUP(Noise_3dB_bands,Amenity_values_3dB_table,2,0))+Without_54_57_with_69_72_amenity_value</f>
        <v>-623.38293028074236</v>
      </c>
      <c r="O191" s="145">
        <f>-(HLOOKUP(Noise_3dB_bands,Amenity_values_3dB_table,2,0))+Without_54_57_with_72_75_amenity_value</f>
        <v>-811.91975918635012</v>
      </c>
      <c r="P191" s="145">
        <f>-(HLOOKUP(Noise_3dB_bands,Amenity_values_3dB_table,2,0))+Without_54_57_with_75_78_amenity_value</f>
        <v>-1007.3655913993545</v>
      </c>
      <c r="Q191" s="145">
        <f>-(HLOOKUP(Noise_3dB_bands,Amenity_values_3dB_table,2,0))+Without_54_57_with_78_81_amenity_value</f>
        <v>-1202.8114236123588</v>
      </c>
      <c r="R191" s="26" t="s">
        <v>139</v>
      </c>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row>
    <row r="192" spans="1:95" s="25" customFormat="1" ht="15" hidden="1" customHeight="1" outlineLevel="1" x14ac:dyDescent="0.25">
      <c r="A192" s="27"/>
      <c r="B192" s="135" t="s">
        <v>21</v>
      </c>
      <c r="C192" s="152"/>
      <c r="D192" s="145">
        <f>-Without_45_with_57_60_amenity_value</f>
        <v>189.15311918877029</v>
      </c>
      <c r="E192" s="145">
        <f>-Without_45_48_with_57_60_amenity_value</f>
        <v>173.89847908307735</v>
      </c>
      <c r="F192" s="145">
        <f>-Without_48_51_with_57_60_amenity_value</f>
        <v>141.38137710176261</v>
      </c>
      <c r="G192" s="145">
        <f>-Without_51_54_with_57_60_amenity_value</f>
        <v>103.60532803703938</v>
      </c>
      <c r="H192" s="145">
        <f>-Without_54_57_with_57_60_amenity_value</f>
        <v>57.501234724565791</v>
      </c>
      <c r="I192" s="145">
        <v>0</v>
      </c>
      <c r="J192" s="145">
        <f>-(HLOOKUP(Noise_3dB_bands,Amenity_values_3dB_table,2,0))</f>
        <v>-71.967473300999757</v>
      </c>
      <c r="K192" s="145">
        <f>-(HLOOKUP(Noise_3dB_bands,Amenity_values_3dB_table,2,0))+Without_57_60_with_60_63_amenity_value</f>
        <v>-161.47028234277548</v>
      </c>
      <c r="L192" s="145">
        <f>-(HLOOKUP(Noise_3dB_bands,Amenity_values_3dB_table,2,0))+Without_57_60_with_63_66_amenity_value</f>
        <v>-271.5775242896691</v>
      </c>
      <c r="M192" s="145">
        <f>-(HLOOKUP(Noise_3dB_bands,Amenity_values_3dB_table,2,0))+Without_57_60_with_66_69_amenity_value</f>
        <v>-405.35829630602211</v>
      </c>
      <c r="N192" s="145">
        <f>-(HLOOKUP(Noise_3dB_bands,Amenity_values_3dB_table,2,0))+Without_57_60_with_69_72_amenity_value</f>
        <v>-565.88169555617651</v>
      </c>
      <c r="O192" s="145">
        <f>-(HLOOKUP(Noise_3dB_bands,Amenity_values_3dB_table,2,0))+Without_57_60_with_72_75_amenity_value</f>
        <v>-754.41852446178427</v>
      </c>
      <c r="P192" s="145">
        <f>-(HLOOKUP(Noise_3dB_bands,Amenity_values_3dB_table,2,0))+Without_57_60_with_75_78_amenity_value</f>
        <v>-949.86435667478861</v>
      </c>
      <c r="Q192" s="145">
        <f>-(HLOOKUP(Noise_3dB_bands,Amenity_values_3dB_table,2,0))+Without_57_60_with_78_81_amenity_value</f>
        <v>-1145.3101888877929</v>
      </c>
      <c r="R192" s="26" t="s">
        <v>140</v>
      </c>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row>
    <row r="193" spans="1:96" s="25" customFormat="1" ht="15" hidden="1" customHeight="1" outlineLevel="1" x14ac:dyDescent="0.25">
      <c r="A193" s="27"/>
      <c r="B193" s="135" t="s">
        <v>22</v>
      </c>
      <c r="C193" s="152"/>
      <c r="D193" s="145">
        <f>-Without_45_with_60_63_amenity_value</f>
        <v>261.12059248977005</v>
      </c>
      <c r="E193" s="145">
        <f>-Without_45_48_with_60_63_amenity_value</f>
        <v>245.8659523840771</v>
      </c>
      <c r="F193" s="145">
        <f>-Without_48_51_with_60_63_amenity_value</f>
        <v>213.34885040276237</v>
      </c>
      <c r="G193" s="145">
        <f>-Without_51_54_with_60_63_amenity_value</f>
        <v>175.57280133803914</v>
      </c>
      <c r="H193" s="145">
        <f>-Without_54_57_with_60_63_amenity_value</f>
        <v>129.46870802556555</v>
      </c>
      <c r="I193" s="145">
        <f>-Without_57_60_with_60_63_amenity_value</f>
        <v>71.967473300999757</v>
      </c>
      <c r="J193" s="145">
        <v>0</v>
      </c>
      <c r="K193" s="145">
        <f>-(HLOOKUP(Noise_3dB_bands,Amenity_values_3dB_table,2,0))</f>
        <v>-89.502809041775706</v>
      </c>
      <c r="L193" s="145">
        <f>-(HLOOKUP(Noise_3dB_bands,Amenity_values_3dB_table,2,0))+Without_60_63_with_63_66_amenity_value</f>
        <v>-199.61005098866931</v>
      </c>
      <c r="M193" s="145">
        <f>-(HLOOKUP(Noise_3dB_bands,Amenity_values_3dB_table,2,0))+Without_60_63_with_66_69_amenity_value</f>
        <v>-333.3908230050223</v>
      </c>
      <c r="N193" s="145">
        <f>-(HLOOKUP(Noise_3dB_bands,Amenity_values_3dB_table,2,0))+Without_60_63_with_69_72_amenity_value</f>
        <v>-493.9142222551767</v>
      </c>
      <c r="O193" s="145">
        <f>-(HLOOKUP(Noise_3dB_bands,Amenity_values_3dB_table,2,0))+Without_60_63_with_72_75_amenity_value</f>
        <v>-682.45105116078457</v>
      </c>
      <c r="P193" s="145">
        <f>-(HLOOKUP(Noise_3dB_bands,Amenity_values_3dB_table,2,0))+Without_60_63_with_75_78_amenity_value</f>
        <v>-877.89688337378891</v>
      </c>
      <c r="Q193" s="145">
        <f>-(HLOOKUP(Noise_3dB_bands,Amenity_values_3dB_table,2,0))+Without_60_63_with_78_81_amenity_value</f>
        <v>-1073.3427155867932</v>
      </c>
      <c r="R193" s="26" t="s">
        <v>141</v>
      </c>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row>
    <row r="194" spans="1:96" s="25" customFormat="1" ht="15" hidden="1" customHeight="1" outlineLevel="1" x14ac:dyDescent="0.25">
      <c r="A194" s="27"/>
      <c r="B194" s="135" t="s">
        <v>23</v>
      </c>
      <c r="C194" s="152"/>
      <c r="D194" s="145">
        <f>-Without_45_with_63_66_amenity_value</f>
        <v>350.62340153154577</v>
      </c>
      <c r="E194" s="145">
        <f>-Without_45_48_with_63_66_amenity_value</f>
        <v>335.36876142585282</v>
      </c>
      <c r="F194" s="145">
        <f>-Without_48_51_with_63_66_amenity_value</f>
        <v>302.85165944453809</v>
      </c>
      <c r="G194" s="145">
        <f>-Without_51_54_with_63_66_amenity_value</f>
        <v>265.07561037981486</v>
      </c>
      <c r="H194" s="145">
        <f>-Without_54_57_with_63_66_amenity_value</f>
        <v>218.97151706734127</v>
      </c>
      <c r="I194" s="145">
        <f>-Without_57_60_with_63_66_amenity_value</f>
        <v>161.47028234277548</v>
      </c>
      <c r="J194" s="145">
        <f>-Without_60_63_with_63_66_amenity_value</f>
        <v>89.502809041775706</v>
      </c>
      <c r="K194" s="145">
        <v>0</v>
      </c>
      <c r="L194" s="145">
        <f>-(HLOOKUP(Noise_3dB_bands,Amenity_values_3dB_table,2,0))</f>
        <v>-110.10724194689361</v>
      </c>
      <c r="M194" s="145">
        <f>-(HLOOKUP(Noise_3dB_bands,Amenity_values_3dB_table,2,0))+Without_63_66_with_66_69_amenity_value</f>
        <v>-243.88801396324664</v>
      </c>
      <c r="N194" s="145">
        <f>-(HLOOKUP(Noise_3dB_bands,Amenity_values_3dB_table,2,0))+Without_63_66_with_69_72_amenity_value</f>
        <v>-404.41141321340103</v>
      </c>
      <c r="O194" s="145">
        <f>-(HLOOKUP(Noise_3dB_bands,Amenity_values_3dB_table,2,0))+Without_63_66_with_72_75_amenity_value</f>
        <v>-592.94824211900891</v>
      </c>
      <c r="P194" s="145">
        <f>-(HLOOKUP(Noise_3dB_bands,Amenity_values_3dB_table,2,0))+Without_63_66_with_75_78_amenity_value</f>
        <v>-788.39407433201325</v>
      </c>
      <c r="Q194" s="145">
        <f>-(HLOOKUP(Noise_3dB_bands,Amenity_values_3dB_table,2,0))+Without_63_66_with_78_81_amenity_value</f>
        <v>-983.83990654501758</v>
      </c>
      <c r="R194" s="26" t="s">
        <v>142</v>
      </c>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row>
    <row r="195" spans="1:96" s="8" customFormat="1" ht="15" hidden="1" customHeight="1" outlineLevel="1" x14ac:dyDescent="0.25">
      <c r="A195" s="89"/>
      <c r="B195" s="135" t="s">
        <v>24</v>
      </c>
      <c r="C195" s="152"/>
      <c r="D195" s="145">
        <f>-Without_45_with_66_69_amenity_value</f>
        <v>460.73064347843939</v>
      </c>
      <c r="E195" s="145">
        <f>-Without_45_48_with_66_69_amenity_value</f>
        <v>445.47600337274645</v>
      </c>
      <c r="F195" s="145">
        <f>-Without_48_51_with_66_69_amenity_value</f>
        <v>412.95890139143171</v>
      </c>
      <c r="G195" s="145">
        <f>-Without_51_54_with_66_69_amenity_value</f>
        <v>375.18285232670848</v>
      </c>
      <c r="H195" s="145">
        <f>-Without_54_57_with_66_69_amenity_value</f>
        <v>329.07875901423489</v>
      </c>
      <c r="I195" s="145">
        <f>-Without_57_60_with_66_69_amenity_value</f>
        <v>271.5775242896691</v>
      </c>
      <c r="J195" s="145">
        <f>-Without_60_63_with_66_69_amenity_value</f>
        <v>199.61005098866931</v>
      </c>
      <c r="K195" s="145">
        <f>-Without_63_66_with_66_69_amenity_value</f>
        <v>110.10724194689361</v>
      </c>
      <c r="L195" s="145">
        <v>0</v>
      </c>
      <c r="M195" s="145">
        <f>-(HLOOKUP(Noise_3dB_bands,Amenity_values_3dB_table,2,0))</f>
        <v>-133.78077201635301</v>
      </c>
      <c r="N195" s="145">
        <f>-(HLOOKUP(Noise_3dB_bands,Amenity_values_3dB_table,2,0))+Without_66_69_with_69_72_amenity_value</f>
        <v>-294.30417126650741</v>
      </c>
      <c r="O195" s="145">
        <f>-(HLOOKUP(Noise_3dB_bands,Amenity_values_3dB_table,2,0))+Without_66_69_with_72_75_amenity_value</f>
        <v>-482.84100017211523</v>
      </c>
      <c r="P195" s="145">
        <f>-(HLOOKUP(Noise_3dB_bands,Amenity_values_3dB_table,2,0))+Without_66_69_with_75_78_amenity_value</f>
        <v>-678.28683238511951</v>
      </c>
      <c r="Q195" s="145">
        <f>-(HLOOKUP(Noise_3dB_bands,Amenity_values_3dB_table,2,0))+Without_66_69_with_78_81_amenity_value</f>
        <v>-873.73266459812385</v>
      </c>
      <c r="R195" s="26" t="s">
        <v>143</v>
      </c>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row>
    <row r="196" spans="1:96" s="8" customFormat="1" ht="15" hidden="1" customHeight="1" outlineLevel="1" x14ac:dyDescent="0.25">
      <c r="A196" s="89"/>
      <c r="B196" s="135" t="s">
        <v>25</v>
      </c>
      <c r="C196" s="152"/>
      <c r="D196" s="145">
        <f>-Without_45_with_69_72_amenity_value</f>
        <v>594.51141549479235</v>
      </c>
      <c r="E196" s="145">
        <f>-Without_45_48_with_69_72_amenity_value</f>
        <v>579.2567753890994</v>
      </c>
      <c r="F196" s="145">
        <f>-Without_48_51_with_69_72_amenity_value</f>
        <v>546.73967340778472</v>
      </c>
      <c r="G196" s="145">
        <f>-Without_51_54_with_69_72_amenity_value</f>
        <v>508.9636243430615</v>
      </c>
      <c r="H196" s="145">
        <f>-Without_54_57_with_69_72_amenity_value</f>
        <v>462.8595310305879</v>
      </c>
      <c r="I196" s="145">
        <f>-Without_57_60_with_69_72_amenity_value</f>
        <v>405.35829630602211</v>
      </c>
      <c r="J196" s="145">
        <f>-Without_60_63_with_69_72_amenity_value</f>
        <v>333.3908230050223</v>
      </c>
      <c r="K196" s="145">
        <f>-Without_63_66_with_69_72_amenity_value</f>
        <v>243.88801396324664</v>
      </c>
      <c r="L196" s="145">
        <f>-Without_66_69_with_69_72_amenity_value</f>
        <v>133.78077201635301</v>
      </c>
      <c r="M196" s="145">
        <v>0</v>
      </c>
      <c r="N196" s="145">
        <f>-(HLOOKUP(Noise_3dB_bands,Amenity_values_3dB_table,2,0))</f>
        <v>-160.52339925015443</v>
      </c>
      <c r="O196" s="145">
        <f>-(HLOOKUP(Noise_3dB_bands,Amenity_values_3dB_table,2,0))+Without_69_72_with_72_75_amenity_value</f>
        <v>-349.06022815576227</v>
      </c>
      <c r="P196" s="145">
        <f>-(HLOOKUP(Noise_3dB_bands,Amenity_values_3dB_table,2,0))+Without_69_72_with_75_78_amenity_value</f>
        <v>-544.50606036876661</v>
      </c>
      <c r="Q196" s="145">
        <f>-(HLOOKUP(Noise_3dB_bands,Amenity_values_3dB_table,2,0))+Without_69_72_with_78_81_amenity_value</f>
        <v>-739.95189258177095</v>
      </c>
      <c r="R196" s="26" t="s">
        <v>144</v>
      </c>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row>
    <row r="197" spans="1:96" s="8" customFormat="1" ht="15" hidden="1" customHeight="1" outlineLevel="1" x14ac:dyDescent="0.25">
      <c r="A197" s="89"/>
      <c r="B197" s="135" t="s">
        <v>26</v>
      </c>
      <c r="C197" s="152"/>
      <c r="D197" s="145">
        <f>-Without_45_with_72_75_amenity_value</f>
        <v>755.03481474494674</v>
      </c>
      <c r="E197" s="145">
        <f>-Without_45_48_with_72_75_amenity_value</f>
        <v>739.7801746392538</v>
      </c>
      <c r="F197" s="145">
        <f>-Without_48_51_with_72_75_amenity_value</f>
        <v>707.26307265793912</v>
      </c>
      <c r="G197" s="145">
        <f>-Without_51_54_with_72_75_amenity_value</f>
        <v>669.48702359321589</v>
      </c>
      <c r="H197" s="145">
        <f>-Without_54_57_with_72_75_amenity_value</f>
        <v>623.38293028074236</v>
      </c>
      <c r="I197" s="145">
        <f>-Without_57_60_with_72_75_amenity_value</f>
        <v>565.88169555617651</v>
      </c>
      <c r="J197" s="145">
        <f>-Without_60_63_with_72_75_amenity_value</f>
        <v>493.9142222551767</v>
      </c>
      <c r="K197" s="145">
        <f>-Without_63_66_with_72_75_amenity_value</f>
        <v>404.41141321340103</v>
      </c>
      <c r="L197" s="145">
        <f>-Without_66_69_with_72_75_amenity_value</f>
        <v>294.30417126650741</v>
      </c>
      <c r="M197" s="145">
        <f>-Without_69_72_with_72_75_amenity_value</f>
        <v>160.52339925015443</v>
      </c>
      <c r="N197" s="145">
        <v>0</v>
      </c>
      <c r="O197" s="145">
        <f>-(HLOOKUP(Noise_3dB_bands,Amenity_values_3dB_table,2,0))</f>
        <v>-188.53682890560782</v>
      </c>
      <c r="P197" s="145">
        <f>-(HLOOKUP(Noise_3dB_bands,Amenity_values_3dB_table,2,0))+Without_72_75_with_75_78_amenity_value</f>
        <v>-383.9826611186121</v>
      </c>
      <c r="Q197" s="145">
        <f>-(HLOOKUP(Noise_3dB_bands,Amenity_values_3dB_table,2,0))+Without_72_75_with_78_81_amenity_value</f>
        <v>-579.42849333161644</v>
      </c>
      <c r="R197" s="26" t="s">
        <v>145</v>
      </c>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row>
    <row r="198" spans="1:96" s="8" customFormat="1" ht="15" hidden="1" customHeight="1" outlineLevel="1" x14ac:dyDescent="0.25">
      <c r="A198" s="89"/>
      <c r="B198" s="135" t="s">
        <v>27</v>
      </c>
      <c r="C198" s="152"/>
      <c r="D198" s="145">
        <f>-Without_45_with_75_78_amenity_value</f>
        <v>943.57164365055451</v>
      </c>
      <c r="E198" s="145">
        <f>-Without_45_48_with_75_78_amenity_value</f>
        <v>928.31700354486156</v>
      </c>
      <c r="F198" s="145">
        <f>-Without_48_51_with_75_78_amenity_value</f>
        <v>895.79990156354688</v>
      </c>
      <c r="G198" s="145">
        <f>-Without_51_54_with_75_78_amenity_value</f>
        <v>858.02385249882377</v>
      </c>
      <c r="H198" s="145">
        <f>-Without_54_57_with_75_78_amenity_value</f>
        <v>811.91975918635012</v>
      </c>
      <c r="I198" s="145">
        <f>-Without_57_60_with_75_78_amenity_value</f>
        <v>754.41852446178427</v>
      </c>
      <c r="J198" s="145">
        <f>-Without_60_63_with_75_78_amenity_value</f>
        <v>682.45105116078457</v>
      </c>
      <c r="K198" s="145">
        <f>-Without_63_66_with_75_78_amenity_value</f>
        <v>592.94824211900891</v>
      </c>
      <c r="L198" s="145">
        <f>-Without_66_69_with_75_78_amenity_value</f>
        <v>482.84100017211523</v>
      </c>
      <c r="M198" s="145">
        <f>-Without_69_72_with_75_78_amenity_value</f>
        <v>349.06022815576227</v>
      </c>
      <c r="N198" s="145">
        <f>-Without_72_75_with_75_78_amenity_value</f>
        <v>188.53682890560782</v>
      </c>
      <c r="O198" s="145">
        <v>0</v>
      </c>
      <c r="P198" s="145">
        <f>-(HLOOKUP(Noise_3dB_bands,Amenity_values_3dB_table,2,0))</f>
        <v>-195.44583221300431</v>
      </c>
      <c r="Q198" s="145">
        <f>-(HLOOKUP(Noise_3dB_bands,Amenity_values_3dB_table,2,0))+Without_75_78_with_78_81_amenity_value</f>
        <v>-390.89166442600862</v>
      </c>
      <c r="R198" s="26" t="s">
        <v>146</v>
      </c>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28"/>
    </row>
    <row r="199" spans="1:96" s="8" customFormat="1" ht="15" hidden="1" customHeight="1" outlineLevel="1" x14ac:dyDescent="0.25">
      <c r="A199" s="89"/>
      <c r="B199" s="135" t="s">
        <v>28</v>
      </c>
      <c r="C199" s="152"/>
      <c r="D199" s="145">
        <f>-Without_45_with_78_81_amenity_value</f>
        <v>1139.0174758635587</v>
      </c>
      <c r="E199" s="145">
        <f>-Without_45_48_with_78_81_amenity_value</f>
        <v>1123.7628357578658</v>
      </c>
      <c r="F199" s="145">
        <f>-Without_48_51_with_78_81_amenity_value</f>
        <v>1091.2457337765511</v>
      </c>
      <c r="G199" s="145">
        <f>-Without_51_54_with_78_81_amenity_value</f>
        <v>1053.469684711828</v>
      </c>
      <c r="H199" s="145">
        <f>-Without_54_57_with_78_81_amenity_value</f>
        <v>1007.3655913993545</v>
      </c>
      <c r="I199" s="145">
        <f>-Without_57_60_with_78_81_amenity_value</f>
        <v>949.86435667478861</v>
      </c>
      <c r="J199" s="145">
        <f>-Without_60_63_with_78_81_amenity_value</f>
        <v>877.89688337378891</v>
      </c>
      <c r="K199" s="145">
        <f>-Without_63_66_with_78_81_amenity_value</f>
        <v>788.39407433201325</v>
      </c>
      <c r="L199" s="145">
        <f>-Without_66_69_with_78_81_amenity_value</f>
        <v>678.28683238511951</v>
      </c>
      <c r="M199" s="145">
        <f>-Without_69_72_with_78_81_amenity_value</f>
        <v>544.50606036876661</v>
      </c>
      <c r="N199" s="145">
        <f>-Without_72_75_with_78_81_amenity_value</f>
        <v>383.9826611186121</v>
      </c>
      <c r="O199" s="145">
        <f>-Without_75_78_with_78_81_amenity_value</f>
        <v>195.44583221300431</v>
      </c>
      <c r="P199" s="145">
        <v>0</v>
      </c>
      <c r="Q199" s="145">
        <f>-(HLOOKUP(Noise_3dB_bands,Amenity_values_3dB_table,2,0))</f>
        <v>-195.44583221300431</v>
      </c>
      <c r="R199" s="26" t="s">
        <v>147</v>
      </c>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28"/>
    </row>
    <row r="200" spans="1:96" s="8" customFormat="1" ht="15" hidden="1" customHeight="1" outlineLevel="1" x14ac:dyDescent="0.25">
      <c r="A200" s="89"/>
      <c r="B200" s="135" t="s">
        <v>29</v>
      </c>
      <c r="C200" s="153"/>
      <c r="D200" s="145">
        <f>-Without_45_with_81_amenity_value</f>
        <v>1334.463308076563</v>
      </c>
      <c r="E200" s="145">
        <f>-Without_45_48_with_81_amenity_value</f>
        <v>1319.20866797087</v>
      </c>
      <c r="F200" s="145">
        <f>-Without_48_51_with_81_amenity_value</f>
        <v>1286.6915659895553</v>
      </c>
      <c r="G200" s="145">
        <f>-Without_51_54_with_81_amenity_value</f>
        <v>1248.9155169248322</v>
      </c>
      <c r="H200" s="145">
        <f>-Without_54_57_with_81_amenity_value</f>
        <v>1202.8114236123588</v>
      </c>
      <c r="I200" s="145">
        <f>-Without_57_60_with_81_amenity_value</f>
        <v>1145.3101888877929</v>
      </c>
      <c r="J200" s="145">
        <f>-Without_60_63_with_81_amenity_value</f>
        <v>1073.3427155867932</v>
      </c>
      <c r="K200" s="145">
        <f>-Without_63_66_with_81_amenity_value</f>
        <v>983.83990654501758</v>
      </c>
      <c r="L200" s="145">
        <f>-Without_66_69_with_81_amenity_value</f>
        <v>873.73266459812385</v>
      </c>
      <c r="M200" s="145">
        <f>-Without_69_72_with_81_amenity_value</f>
        <v>739.95189258177095</v>
      </c>
      <c r="N200" s="145">
        <f>-Without_72_75_with_81_amenity_value</f>
        <v>579.42849333161644</v>
      </c>
      <c r="O200" s="145">
        <f>-Without_75_78_with_81_amenity_value</f>
        <v>390.89166442600862</v>
      </c>
      <c r="P200" s="145">
        <f>-Without_78_81_with_81_amenity_value</f>
        <v>195.44583221300431</v>
      </c>
      <c r="Q200" s="145">
        <v>0</v>
      </c>
      <c r="R200" s="26" t="s">
        <v>148</v>
      </c>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28"/>
    </row>
    <row r="201" spans="1:96" s="8" customFormat="1" ht="15" hidden="1" customHeight="1" outlineLevel="1" x14ac:dyDescent="0.25">
      <c r="A201" s="89"/>
      <c r="B201" s="134"/>
      <c r="C201" s="154"/>
      <c r="D201" s="150"/>
      <c r="E201" s="150"/>
      <c r="F201" s="150"/>
      <c r="G201" s="150"/>
      <c r="H201" s="150"/>
      <c r="I201" s="150"/>
      <c r="J201" s="150"/>
      <c r="K201" s="150"/>
      <c r="L201" s="150"/>
      <c r="M201" s="150"/>
      <c r="N201" s="150"/>
      <c r="O201" s="150"/>
      <c r="P201" s="150"/>
      <c r="Q201" s="150"/>
      <c r="R201" s="26"/>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28"/>
    </row>
    <row r="202" spans="1:96" s="10" customFormat="1" ht="15.75" hidden="1" outlineLevel="1" x14ac:dyDescent="0.25">
      <c r="B202" s="11" t="s">
        <v>67</v>
      </c>
      <c r="C202" s="12"/>
      <c r="D202" s="13"/>
      <c r="E202" s="13"/>
    </row>
    <row r="203" spans="1:96" ht="15" hidden="1" customHeight="1" outlineLevel="1" x14ac:dyDescent="0.25">
      <c r="A203" s="131"/>
      <c r="B203" s="131"/>
      <c r="C203" s="149"/>
      <c r="D203" s="3"/>
      <c r="E203" s="3"/>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131"/>
      <c r="CC203" s="131"/>
      <c r="CD203" s="131"/>
      <c r="CE203" s="131"/>
      <c r="CF203" s="131"/>
      <c r="CG203" s="131"/>
      <c r="CH203" s="131"/>
      <c r="CI203" s="131"/>
      <c r="CJ203" s="131"/>
      <c r="CK203" s="131"/>
      <c r="CL203" s="131"/>
      <c r="CM203" s="131"/>
      <c r="CN203" s="131"/>
      <c r="CO203" s="131"/>
      <c r="CP203" s="131"/>
      <c r="CQ203" s="131"/>
    </row>
    <row r="204" spans="1:96" ht="15" hidden="1" customHeight="1" outlineLevel="2" x14ac:dyDescent="0.25">
      <c r="A204" s="131"/>
      <c r="B204" s="191" t="s">
        <v>63</v>
      </c>
      <c r="C204" s="131"/>
      <c r="D204" s="17" t="s">
        <v>64</v>
      </c>
      <c r="E204" s="18">
        <v>45</v>
      </c>
      <c r="F204" s="19">
        <v>46</v>
      </c>
      <c r="G204" s="18">
        <v>47</v>
      </c>
      <c r="H204" s="19">
        <v>48</v>
      </c>
      <c r="I204" s="18">
        <v>49</v>
      </c>
      <c r="J204" s="19">
        <v>50</v>
      </c>
      <c r="K204" s="18">
        <v>51</v>
      </c>
      <c r="L204" s="19">
        <v>52</v>
      </c>
      <c r="M204" s="18">
        <v>53</v>
      </c>
      <c r="N204" s="19">
        <v>54</v>
      </c>
      <c r="O204" s="18">
        <v>55</v>
      </c>
      <c r="P204" s="19">
        <v>56</v>
      </c>
      <c r="Q204" s="18">
        <v>57</v>
      </c>
      <c r="R204" s="19">
        <v>58</v>
      </c>
      <c r="S204" s="18">
        <v>59</v>
      </c>
      <c r="T204" s="19">
        <v>60</v>
      </c>
      <c r="U204" s="18">
        <v>61</v>
      </c>
      <c r="V204" s="19">
        <v>62</v>
      </c>
      <c r="W204" s="18">
        <v>63</v>
      </c>
      <c r="X204" s="19">
        <v>64</v>
      </c>
      <c r="Y204" s="18">
        <v>65</v>
      </c>
      <c r="Z204" s="19">
        <v>66</v>
      </c>
      <c r="AA204" s="18">
        <v>67</v>
      </c>
      <c r="AB204" s="19">
        <v>68</v>
      </c>
      <c r="AC204" s="18">
        <v>69</v>
      </c>
      <c r="AD204" s="19">
        <v>70</v>
      </c>
      <c r="AE204" s="18">
        <v>71</v>
      </c>
      <c r="AF204" s="19">
        <v>72</v>
      </c>
      <c r="AG204" s="18">
        <v>73</v>
      </c>
      <c r="AH204" s="19">
        <v>74</v>
      </c>
      <c r="AI204" s="18">
        <v>75</v>
      </c>
      <c r="AJ204" s="19">
        <v>76</v>
      </c>
      <c r="AK204" s="18">
        <v>77</v>
      </c>
      <c r="AL204" s="19">
        <v>78</v>
      </c>
      <c r="AM204" s="18">
        <v>79</v>
      </c>
      <c r="AN204" s="19">
        <v>80</v>
      </c>
      <c r="AO204" s="18">
        <v>81</v>
      </c>
      <c r="AP204" s="19">
        <v>82</v>
      </c>
      <c r="AQ204" s="18">
        <v>83</v>
      </c>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c r="CM204" s="131"/>
      <c r="CN204" s="131"/>
      <c r="CO204" s="131"/>
      <c r="CP204" s="131"/>
      <c r="CQ204" s="131"/>
    </row>
    <row r="205" spans="1:96" ht="15" hidden="1" customHeight="1" outlineLevel="2" x14ac:dyDescent="0.25">
      <c r="A205" s="131"/>
      <c r="B205" s="191"/>
      <c r="C205" s="147" t="s">
        <v>486</v>
      </c>
      <c r="D205" s="17">
        <v>45</v>
      </c>
      <c r="E205" s="18">
        <v>46</v>
      </c>
      <c r="F205" s="17">
        <v>47</v>
      </c>
      <c r="G205" s="18">
        <v>48</v>
      </c>
      <c r="H205" s="17">
        <v>49</v>
      </c>
      <c r="I205" s="18">
        <v>50</v>
      </c>
      <c r="J205" s="17">
        <v>51</v>
      </c>
      <c r="K205" s="18">
        <v>52</v>
      </c>
      <c r="L205" s="17">
        <v>53</v>
      </c>
      <c r="M205" s="18">
        <v>54</v>
      </c>
      <c r="N205" s="17">
        <v>55</v>
      </c>
      <c r="O205" s="18">
        <v>56</v>
      </c>
      <c r="P205" s="17">
        <v>57</v>
      </c>
      <c r="Q205" s="18">
        <v>58</v>
      </c>
      <c r="R205" s="17">
        <v>59</v>
      </c>
      <c r="S205" s="18">
        <v>60</v>
      </c>
      <c r="T205" s="17">
        <v>61</v>
      </c>
      <c r="U205" s="18">
        <v>62</v>
      </c>
      <c r="V205" s="17">
        <v>63</v>
      </c>
      <c r="W205" s="18">
        <v>64</v>
      </c>
      <c r="X205" s="17">
        <v>65</v>
      </c>
      <c r="Y205" s="18">
        <v>66</v>
      </c>
      <c r="Z205" s="17">
        <v>67</v>
      </c>
      <c r="AA205" s="18">
        <v>68</v>
      </c>
      <c r="AB205" s="17">
        <v>69</v>
      </c>
      <c r="AC205" s="18">
        <v>70</v>
      </c>
      <c r="AD205" s="17">
        <v>71</v>
      </c>
      <c r="AE205" s="18">
        <v>72</v>
      </c>
      <c r="AF205" s="17">
        <v>73</v>
      </c>
      <c r="AG205" s="18">
        <v>74</v>
      </c>
      <c r="AH205" s="17">
        <v>75</v>
      </c>
      <c r="AI205" s="18">
        <v>76</v>
      </c>
      <c r="AJ205" s="17">
        <v>77</v>
      </c>
      <c r="AK205" s="18">
        <v>78</v>
      </c>
      <c r="AL205" s="17">
        <v>79</v>
      </c>
      <c r="AM205" s="18">
        <v>80</v>
      </c>
      <c r="AN205" s="17">
        <v>81</v>
      </c>
      <c r="AO205" s="18">
        <v>82</v>
      </c>
      <c r="AP205" s="17">
        <v>83</v>
      </c>
      <c r="AQ205" s="18">
        <v>84</v>
      </c>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row>
    <row r="206" spans="1:96" ht="15" hidden="1" customHeight="1" outlineLevel="2" x14ac:dyDescent="0.25">
      <c r="A206" s="131"/>
      <c r="B206" s="131" t="s">
        <v>594</v>
      </c>
      <c r="C206" s="131">
        <f>Road_mask</f>
        <v>1</v>
      </c>
      <c r="D206" s="148">
        <f t="shared" ref="D206:AQ206" si="10">AMI_values_road_1dB_in</f>
        <v>0</v>
      </c>
      <c r="E206" s="148">
        <f t="shared" si="10"/>
        <v>0</v>
      </c>
      <c r="F206" s="148">
        <f t="shared" si="10"/>
        <v>0</v>
      </c>
      <c r="G206" s="148">
        <f t="shared" si="10"/>
        <v>0</v>
      </c>
      <c r="H206" s="148">
        <f t="shared" si="10"/>
        <v>0</v>
      </c>
      <c r="I206" s="148">
        <f t="shared" si="10"/>
        <v>0</v>
      </c>
      <c r="J206" s="148">
        <f t="shared" si="10"/>
        <v>0</v>
      </c>
      <c r="K206" s="148">
        <f t="shared" si="10"/>
        <v>0</v>
      </c>
      <c r="L206" s="148">
        <f t="shared" si="10"/>
        <v>0</v>
      </c>
      <c r="M206" s="148">
        <f t="shared" si="10"/>
        <v>0</v>
      </c>
      <c r="N206" s="148">
        <f t="shared" si="10"/>
        <v>0</v>
      </c>
      <c r="O206" s="148">
        <f t="shared" si="10"/>
        <v>0</v>
      </c>
      <c r="P206" s="148">
        <f t="shared" si="10"/>
        <v>1.3887764027048999</v>
      </c>
      <c r="Q206" s="148">
        <f t="shared" si="10"/>
        <v>2.7457791783092356</v>
      </c>
      <c r="R206" s="148">
        <f t="shared" si="10"/>
        <v>3.8879927221160657</v>
      </c>
      <c r="S206" s="148">
        <f t="shared" si="10"/>
        <v>5.0655919827628795</v>
      </c>
      <c r="T206" s="148">
        <f t="shared" si="10"/>
        <v>6.2785769602505104</v>
      </c>
      <c r="U206" s="148">
        <f t="shared" si="10"/>
        <v>7.5269476545775031</v>
      </c>
      <c r="V206" s="148">
        <f t="shared" si="10"/>
        <v>8.8107040657455169</v>
      </c>
      <c r="W206" s="148">
        <f t="shared" si="10"/>
        <v>10.129846193754142</v>
      </c>
      <c r="X206" s="148">
        <f t="shared" si="10"/>
        <v>11.484374038602335</v>
      </c>
      <c r="Y206" s="148">
        <f t="shared" si="10"/>
        <v>12.874287600290511</v>
      </c>
      <c r="Z206" s="148">
        <f t="shared" si="10"/>
        <v>14.299586878819927</v>
      </c>
      <c r="AA206" s="148">
        <f t="shared" si="10"/>
        <v>15.760271874190154</v>
      </c>
      <c r="AB206" s="148">
        <f t="shared" si="10"/>
        <v>17.256342586399118</v>
      </c>
      <c r="AC206" s="148">
        <f t="shared" si="10"/>
        <v>18.787799015448897</v>
      </c>
      <c r="AD206" s="148">
        <f t="shared" si="10"/>
        <v>20.354641161339497</v>
      </c>
      <c r="AE206" s="148">
        <f t="shared" si="10"/>
        <v>21.956869024070496</v>
      </c>
      <c r="AF206" s="148">
        <f t="shared" si="10"/>
        <v>23.594482603641474</v>
      </c>
      <c r="AG206" s="148">
        <f t="shared" si="10"/>
        <v>25.267481900052438</v>
      </c>
      <c r="AH206" s="148">
        <f t="shared" si="10"/>
        <v>26.975866913303815</v>
      </c>
      <c r="AI206" s="148">
        <f t="shared" si="10"/>
        <v>28.719637643396407</v>
      </c>
      <c r="AJ206" s="148">
        <f t="shared" si="10"/>
        <v>30.498794090328168</v>
      </c>
      <c r="AK206" s="148">
        <f t="shared" si="10"/>
        <v>32.313336254100733</v>
      </c>
      <c r="AL206" s="148">
        <f t="shared" si="10"/>
        <v>34.163264134714112</v>
      </c>
      <c r="AM206" s="148">
        <f t="shared" si="10"/>
        <v>34.163264134714112</v>
      </c>
      <c r="AN206" s="148">
        <f t="shared" si="10"/>
        <v>34.163264134714112</v>
      </c>
      <c r="AO206" s="148">
        <f t="shared" si="10"/>
        <v>34.163264134714112</v>
      </c>
      <c r="AP206" s="148">
        <f t="shared" si="10"/>
        <v>34.163264134714098</v>
      </c>
      <c r="AQ206" s="148">
        <f t="shared" si="10"/>
        <v>34.163264134714098</v>
      </c>
      <c r="AR206" s="3" t="s">
        <v>603</v>
      </c>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131"/>
      <c r="CC206" s="131"/>
      <c r="CD206" s="131"/>
      <c r="CE206" s="131"/>
      <c r="CF206" s="131"/>
      <c r="CG206" s="131"/>
      <c r="CH206" s="131"/>
      <c r="CI206" s="131"/>
      <c r="CJ206" s="131"/>
      <c r="CK206" s="131"/>
      <c r="CL206" s="131"/>
      <c r="CM206" s="131"/>
      <c r="CN206" s="131"/>
      <c r="CO206" s="131"/>
      <c r="CP206" s="131"/>
      <c r="CQ206" s="131"/>
    </row>
    <row r="207" spans="1:96" ht="15" hidden="1" customHeight="1" outlineLevel="2" x14ac:dyDescent="0.25">
      <c r="A207" s="131"/>
      <c r="B207" s="131" t="s">
        <v>596</v>
      </c>
      <c r="C207" s="149">
        <f>Rail_mask</f>
        <v>0</v>
      </c>
      <c r="D207" s="148">
        <f t="shared" ref="D207:AQ207" si="11">AMI_values_rail_1dB_in</f>
        <v>0</v>
      </c>
      <c r="E207" s="148">
        <f t="shared" si="11"/>
        <v>0</v>
      </c>
      <c r="F207" s="148">
        <f t="shared" si="11"/>
        <v>0</v>
      </c>
      <c r="G207" s="148">
        <f t="shared" si="11"/>
        <v>0</v>
      </c>
      <c r="H207" s="148">
        <f t="shared" si="11"/>
        <v>0</v>
      </c>
      <c r="I207" s="148">
        <f t="shared" si="11"/>
        <v>0</v>
      </c>
      <c r="J207" s="148">
        <f t="shared" si="11"/>
        <v>0</v>
      </c>
      <c r="K207" s="148">
        <f t="shared" si="11"/>
        <v>0</v>
      </c>
      <c r="L207" s="148">
        <f t="shared" si="11"/>
        <v>0</v>
      </c>
      <c r="M207" s="148">
        <f t="shared" si="11"/>
        <v>0</v>
      </c>
      <c r="N207" s="148">
        <f t="shared" si="11"/>
        <v>0</v>
      </c>
      <c r="O207" s="148">
        <f t="shared" si="11"/>
        <v>0</v>
      </c>
      <c r="P207" s="148">
        <f t="shared" si="11"/>
        <v>0</v>
      </c>
      <c r="Q207" s="148">
        <f t="shared" si="11"/>
        <v>0</v>
      </c>
      <c r="R207" s="148">
        <f t="shared" si="11"/>
        <v>1.3887764027048999</v>
      </c>
      <c r="S207" s="148">
        <f t="shared" si="11"/>
        <v>2.7457791783092356</v>
      </c>
      <c r="T207" s="148">
        <f t="shared" si="11"/>
        <v>3.8879927221160657</v>
      </c>
      <c r="U207" s="148">
        <f t="shared" si="11"/>
        <v>5.0655919827628795</v>
      </c>
      <c r="V207" s="148">
        <f t="shared" si="11"/>
        <v>6.2785769602505104</v>
      </c>
      <c r="W207" s="148">
        <f t="shared" si="11"/>
        <v>7.5269476545775031</v>
      </c>
      <c r="X207" s="148">
        <f t="shared" si="11"/>
        <v>8.8107040657455169</v>
      </c>
      <c r="Y207" s="148">
        <f t="shared" si="11"/>
        <v>10.129846193754142</v>
      </c>
      <c r="Z207" s="148">
        <f t="shared" si="11"/>
        <v>11.484374038602335</v>
      </c>
      <c r="AA207" s="148">
        <f t="shared" si="11"/>
        <v>12.874287600290511</v>
      </c>
      <c r="AB207" s="148">
        <f t="shared" si="11"/>
        <v>14.299586878819927</v>
      </c>
      <c r="AC207" s="148">
        <f t="shared" si="11"/>
        <v>15.760271874190154</v>
      </c>
      <c r="AD207" s="148">
        <f t="shared" si="11"/>
        <v>17.256342586399118</v>
      </c>
      <c r="AE207" s="148">
        <f t="shared" si="11"/>
        <v>18.787799015448897</v>
      </c>
      <c r="AF207" s="148">
        <f t="shared" si="11"/>
        <v>20.354641161339497</v>
      </c>
      <c r="AG207" s="148">
        <f t="shared" si="11"/>
        <v>21.956869024070496</v>
      </c>
      <c r="AH207" s="148">
        <f t="shared" si="11"/>
        <v>23.594482603641474</v>
      </c>
      <c r="AI207" s="148">
        <f t="shared" si="11"/>
        <v>25.267481900052438</v>
      </c>
      <c r="AJ207" s="148">
        <f t="shared" si="11"/>
        <v>26.975866913303815</v>
      </c>
      <c r="AK207" s="148">
        <f t="shared" si="11"/>
        <v>28.719637643396407</v>
      </c>
      <c r="AL207" s="148">
        <f t="shared" si="11"/>
        <v>30.498794090328168</v>
      </c>
      <c r="AM207" s="148">
        <f t="shared" si="11"/>
        <v>32.313336254100733</v>
      </c>
      <c r="AN207" s="148">
        <f t="shared" si="11"/>
        <v>34.163264134714112</v>
      </c>
      <c r="AO207" s="148">
        <f t="shared" si="11"/>
        <v>34.163264134714112</v>
      </c>
      <c r="AP207" s="148">
        <f t="shared" si="11"/>
        <v>34.163264134714098</v>
      </c>
      <c r="AQ207" s="148">
        <f t="shared" si="11"/>
        <v>34.163264134714098</v>
      </c>
      <c r="AR207" s="3" t="s">
        <v>604</v>
      </c>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131"/>
      <c r="CC207" s="131"/>
      <c r="CD207" s="131"/>
      <c r="CE207" s="131"/>
      <c r="CF207" s="131"/>
      <c r="CG207" s="131"/>
      <c r="CH207" s="131"/>
      <c r="CI207" s="131"/>
      <c r="CJ207" s="131"/>
      <c r="CK207" s="131"/>
      <c r="CL207" s="131"/>
      <c r="CM207" s="131"/>
      <c r="CN207" s="131"/>
      <c r="CO207" s="131"/>
      <c r="CP207" s="131"/>
      <c r="CQ207" s="131"/>
    </row>
    <row r="208" spans="1:96" ht="15" hidden="1" customHeight="1" outlineLevel="2" x14ac:dyDescent="0.25">
      <c r="A208" s="131"/>
      <c r="B208" s="131" t="s">
        <v>598</v>
      </c>
      <c r="C208" s="149">
        <f>Aviation_mask</f>
        <v>0</v>
      </c>
      <c r="D208" s="148">
        <f t="shared" ref="D208:AQ208" si="12">AMI_values_aviation_1dB_in</f>
        <v>0</v>
      </c>
      <c r="E208" s="148">
        <f t="shared" si="12"/>
        <v>0</v>
      </c>
      <c r="F208" s="148">
        <f t="shared" si="12"/>
        <v>0</v>
      </c>
      <c r="G208" s="148">
        <f t="shared" si="12"/>
        <v>0</v>
      </c>
      <c r="H208" s="148">
        <f t="shared" si="12"/>
        <v>0</v>
      </c>
      <c r="I208" s="148">
        <f t="shared" si="12"/>
        <v>0</v>
      </c>
      <c r="J208" s="148">
        <f t="shared" si="12"/>
        <v>0</v>
      </c>
      <c r="K208" s="148">
        <f t="shared" si="12"/>
        <v>0</v>
      </c>
      <c r="L208" s="148">
        <f t="shared" si="12"/>
        <v>0</v>
      </c>
      <c r="M208" s="148">
        <f t="shared" si="12"/>
        <v>0</v>
      </c>
      <c r="N208" s="148">
        <f t="shared" si="12"/>
        <v>0</v>
      </c>
      <c r="O208" s="148">
        <f t="shared" si="12"/>
        <v>0</v>
      </c>
      <c r="P208" s="148">
        <f t="shared" si="12"/>
        <v>0</v>
      </c>
      <c r="Q208" s="148">
        <f t="shared" si="12"/>
        <v>0</v>
      </c>
      <c r="R208" s="148">
        <f t="shared" si="12"/>
        <v>1.3887764027048999</v>
      </c>
      <c r="S208" s="148">
        <f t="shared" si="12"/>
        <v>2.7457791783092356</v>
      </c>
      <c r="T208" s="148">
        <f t="shared" si="12"/>
        <v>3.8879927221160657</v>
      </c>
      <c r="U208" s="148">
        <f t="shared" si="12"/>
        <v>5.0655919827628795</v>
      </c>
      <c r="V208" s="148">
        <f t="shared" si="12"/>
        <v>6.2785769602505104</v>
      </c>
      <c r="W208" s="148">
        <f t="shared" si="12"/>
        <v>7.5269476545775031</v>
      </c>
      <c r="X208" s="148">
        <f t="shared" si="12"/>
        <v>8.8107040657455169</v>
      </c>
      <c r="Y208" s="148">
        <f t="shared" si="12"/>
        <v>10.129846193754142</v>
      </c>
      <c r="Z208" s="148">
        <f t="shared" si="12"/>
        <v>11.484374038602335</v>
      </c>
      <c r="AA208" s="148">
        <f t="shared" si="12"/>
        <v>12.874287600290511</v>
      </c>
      <c r="AB208" s="148">
        <f t="shared" si="12"/>
        <v>14.299586878819927</v>
      </c>
      <c r="AC208" s="148">
        <f t="shared" si="12"/>
        <v>15.760271874190154</v>
      </c>
      <c r="AD208" s="148">
        <f t="shared" si="12"/>
        <v>17.256342586399118</v>
      </c>
      <c r="AE208" s="148">
        <f t="shared" si="12"/>
        <v>18.787799015448897</v>
      </c>
      <c r="AF208" s="148">
        <f t="shared" si="12"/>
        <v>20.354641161339497</v>
      </c>
      <c r="AG208" s="148">
        <f t="shared" si="12"/>
        <v>21.956869024070496</v>
      </c>
      <c r="AH208" s="148">
        <f t="shared" si="12"/>
        <v>23.594482603641474</v>
      </c>
      <c r="AI208" s="148">
        <f t="shared" si="12"/>
        <v>25.267481900052438</v>
      </c>
      <c r="AJ208" s="148">
        <f t="shared" si="12"/>
        <v>26.975866913303815</v>
      </c>
      <c r="AK208" s="148">
        <f t="shared" si="12"/>
        <v>28.719637643396407</v>
      </c>
      <c r="AL208" s="148">
        <f t="shared" si="12"/>
        <v>30.498794090328168</v>
      </c>
      <c r="AM208" s="148">
        <f t="shared" si="12"/>
        <v>32.313336254100733</v>
      </c>
      <c r="AN208" s="148">
        <f t="shared" si="12"/>
        <v>34.163264134714112</v>
      </c>
      <c r="AO208" s="148">
        <f t="shared" si="12"/>
        <v>34.163264134714112</v>
      </c>
      <c r="AP208" s="148">
        <f t="shared" si="12"/>
        <v>34.163264134714098</v>
      </c>
      <c r="AQ208" s="148">
        <f t="shared" si="12"/>
        <v>34.163264134714098</v>
      </c>
      <c r="AR208" s="3" t="s">
        <v>605</v>
      </c>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131"/>
      <c r="CC208" s="131"/>
      <c r="CD208" s="131"/>
      <c r="CE208" s="131"/>
      <c r="CF208" s="131"/>
      <c r="CG208" s="131"/>
      <c r="CH208" s="131"/>
      <c r="CI208" s="131"/>
      <c r="CJ208" s="131"/>
      <c r="CK208" s="131"/>
      <c r="CL208" s="131"/>
      <c r="CM208" s="131"/>
      <c r="CN208" s="131"/>
      <c r="CO208" s="131"/>
      <c r="CP208" s="131"/>
      <c r="CQ208" s="131"/>
    </row>
    <row r="209" spans="1:95" s="7" customFormat="1" ht="15" hidden="1" customHeight="1" outlineLevel="2" x14ac:dyDescent="0.25">
      <c r="A209" s="131"/>
      <c r="B209" s="131"/>
      <c r="C209" s="149"/>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4"/>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c r="CJ209" s="132"/>
      <c r="CK209" s="132"/>
      <c r="CL209" s="132"/>
      <c r="CM209" s="132"/>
      <c r="CN209" s="132"/>
      <c r="CO209" s="132"/>
      <c r="CP209" s="132"/>
      <c r="CQ209" s="132"/>
    </row>
    <row r="210" spans="1:95" ht="15" hidden="1" customHeight="1" outlineLevel="2" x14ac:dyDescent="0.25">
      <c r="A210" s="131"/>
      <c r="B210" s="191" t="s">
        <v>63</v>
      </c>
      <c r="C210" s="131"/>
      <c r="D210" s="17" t="s">
        <v>64</v>
      </c>
      <c r="E210" s="18">
        <v>45</v>
      </c>
      <c r="F210" s="19">
        <v>46</v>
      </c>
      <c r="G210" s="18">
        <v>47</v>
      </c>
      <c r="H210" s="19">
        <v>48</v>
      </c>
      <c r="I210" s="18">
        <v>49</v>
      </c>
      <c r="J210" s="19">
        <v>50</v>
      </c>
      <c r="K210" s="18">
        <v>51</v>
      </c>
      <c r="L210" s="19">
        <v>52</v>
      </c>
      <c r="M210" s="18">
        <v>53</v>
      </c>
      <c r="N210" s="19">
        <v>54</v>
      </c>
      <c r="O210" s="18">
        <v>55</v>
      </c>
      <c r="P210" s="19">
        <v>56</v>
      </c>
      <c r="Q210" s="18">
        <v>57</v>
      </c>
      <c r="R210" s="19">
        <v>58</v>
      </c>
      <c r="S210" s="18">
        <v>59</v>
      </c>
      <c r="T210" s="19">
        <v>60</v>
      </c>
      <c r="U210" s="18">
        <v>61</v>
      </c>
      <c r="V210" s="19">
        <v>62</v>
      </c>
      <c r="W210" s="18">
        <v>63</v>
      </c>
      <c r="X210" s="19">
        <v>64</v>
      </c>
      <c r="Y210" s="18">
        <v>65</v>
      </c>
      <c r="Z210" s="19">
        <v>66</v>
      </c>
      <c r="AA210" s="18">
        <v>67</v>
      </c>
      <c r="AB210" s="19">
        <v>68</v>
      </c>
      <c r="AC210" s="18">
        <v>69</v>
      </c>
      <c r="AD210" s="19">
        <v>70</v>
      </c>
      <c r="AE210" s="18">
        <v>71</v>
      </c>
      <c r="AF210" s="19">
        <v>72</v>
      </c>
      <c r="AG210" s="18">
        <v>73</v>
      </c>
      <c r="AH210" s="19">
        <v>74</v>
      </c>
      <c r="AI210" s="18">
        <v>75</v>
      </c>
      <c r="AJ210" s="19">
        <v>76</v>
      </c>
      <c r="AK210" s="18">
        <v>77</v>
      </c>
      <c r="AL210" s="19">
        <v>78</v>
      </c>
      <c r="AM210" s="18">
        <v>79</v>
      </c>
      <c r="AN210" s="19">
        <v>80</v>
      </c>
      <c r="AO210" s="18">
        <v>81</v>
      </c>
      <c r="AP210" s="19">
        <v>82</v>
      </c>
      <c r="AQ210" s="18">
        <v>83</v>
      </c>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row>
    <row r="211" spans="1:95" ht="15" hidden="1" customHeight="1" outlineLevel="2" x14ac:dyDescent="0.25">
      <c r="A211" s="131"/>
      <c r="B211" s="191"/>
      <c r="C211" s="131"/>
      <c r="D211" s="17">
        <v>45</v>
      </c>
      <c r="E211" s="18">
        <v>46</v>
      </c>
      <c r="F211" s="17">
        <v>47</v>
      </c>
      <c r="G211" s="18">
        <v>48</v>
      </c>
      <c r="H211" s="17">
        <v>49</v>
      </c>
      <c r="I211" s="18">
        <v>50</v>
      </c>
      <c r="J211" s="17">
        <v>51</v>
      </c>
      <c r="K211" s="18">
        <v>52</v>
      </c>
      <c r="L211" s="17">
        <v>53</v>
      </c>
      <c r="M211" s="18">
        <v>54</v>
      </c>
      <c r="N211" s="17">
        <v>55</v>
      </c>
      <c r="O211" s="18">
        <v>56</v>
      </c>
      <c r="P211" s="17">
        <v>57</v>
      </c>
      <c r="Q211" s="18">
        <v>58</v>
      </c>
      <c r="R211" s="17">
        <v>59</v>
      </c>
      <c r="S211" s="18">
        <v>60</v>
      </c>
      <c r="T211" s="17">
        <v>61</v>
      </c>
      <c r="U211" s="18">
        <v>62</v>
      </c>
      <c r="V211" s="17">
        <v>63</v>
      </c>
      <c r="W211" s="18">
        <v>64</v>
      </c>
      <c r="X211" s="17">
        <v>65</v>
      </c>
      <c r="Y211" s="18">
        <v>66</v>
      </c>
      <c r="Z211" s="17">
        <v>67</v>
      </c>
      <c r="AA211" s="18">
        <v>68</v>
      </c>
      <c r="AB211" s="17">
        <v>69</v>
      </c>
      <c r="AC211" s="18">
        <v>70</v>
      </c>
      <c r="AD211" s="17">
        <v>71</v>
      </c>
      <c r="AE211" s="18">
        <v>72</v>
      </c>
      <c r="AF211" s="17">
        <v>73</v>
      </c>
      <c r="AG211" s="18">
        <v>74</v>
      </c>
      <c r="AH211" s="17">
        <v>75</v>
      </c>
      <c r="AI211" s="18">
        <v>76</v>
      </c>
      <c r="AJ211" s="17">
        <v>77</v>
      </c>
      <c r="AK211" s="18">
        <v>78</v>
      </c>
      <c r="AL211" s="17">
        <v>79</v>
      </c>
      <c r="AM211" s="18">
        <v>80</v>
      </c>
      <c r="AN211" s="17">
        <v>81</v>
      </c>
      <c r="AO211" s="18">
        <v>82</v>
      </c>
      <c r="AP211" s="17">
        <v>83</v>
      </c>
      <c r="AQ211" s="18">
        <v>84</v>
      </c>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c r="CM211" s="131"/>
      <c r="CN211" s="131"/>
      <c r="CO211" s="131"/>
      <c r="CP211" s="131"/>
      <c r="CQ211" s="131"/>
    </row>
    <row r="212" spans="1:95" ht="15" hidden="1" customHeight="1" outlineLevel="2" x14ac:dyDescent="0.25">
      <c r="A212" s="131"/>
      <c r="B212" s="131" t="s">
        <v>98</v>
      </c>
      <c r="C212" s="131"/>
      <c r="D212" s="148">
        <f t="shared" ref="D212:AQ212" si="13">AMI_values_road_1dB*Road_mask +AMI_values_rail_1dB*Rail_mask +AMI_values_aviation_1dB*Aviation_mask</f>
        <v>0</v>
      </c>
      <c r="E212" s="148">
        <f t="shared" si="13"/>
        <v>0</v>
      </c>
      <c r="F212" s="148">
        <f t="shared" si="13"/>
        <v>0</v>
      </c>
      <c r="G212" s="148">
        <f t="shared" si="13"/>
        <v>0</v>
      </c>
      <c r="H212" s="148">
        <f t="shared" si="13"/>
        <v>0</v>
      </c>
      <c r="I212" s="148">
        <f t="shared" si="13"/>
        <v>0</v>
      </c>
      <c r="J212" s="148">
        <f t="shared" si="13"/>
        <v>0</v>
      </c>
      <c r="K212" s="148">
        <f t="shared" si="13"/>
        <v>0</v>
      </c>
      <c r="L212" s="148">
        <f t="shared" si="13"/>
        <v>0</v>
      </c>
      <c r="M212" s="148">
        <f t="shared" si="13"/>
        <v>0</v>
      </c>
      <c r="N212" s="148">
        <f t="shared" si="13"/>
        <v>0</v>
      </c>
      <c r="O212" s="148">
        <f t="shared" si="13"/>
        <v>0</v>
      </c>
      <c r="P212" s="148">
        <f t="shared" si="13"/>
        <v>1.3887764027048999</v>
      </c>
      <c r="Q212" s="148">
        <f t="shared" si="13"/>
        <v>2.7457791783092356</v>
      </c>
      <c r="R212" s="148">
        <f t="shared" si="13"/>
        <v>3.8879927221160657</v>
      </c>
      <c r="S212" s="148">
        <f t="shared" si="13"/>
        <v>5.0655919827628795</v>
      </c>
      <c r="T212" s="148">
        <f t="shared" si="13"/>
        <v>6.2785769602505104</v>
      </c>
      <c r="U212" s="148">
        <f t="shared" si="13"/>
        <v>7.5269476545775031</v>
      </c>
      <c r="V212" s="148">
        <f t="shared" si="13"/>
        <v>8.8107040657455169</v>
      </c>
      <c r="W212" s="148">
        <f t="shared" si="13"/>
        <v>10.129846193754142</v>
      </c>
      <c r="X212" s="148">
        <f t="shared" si="13"/>
        <v>11.484374038602335</v>
      </c>
      <c r="Y212" s="148">
        <f t="shared" si="13"/>
        <v>12.874287600290511</v>
      </c>
      <c r="Z212" s="148">
        <f t="shared" si="13"/>
        <v>14.299586878819927</v>
      </c>
      <c r="AA212" s="148">
        <f t="shared" si="13"/>
        <v>15.760271874190154</v>
      </c>
      <c r="AB212" s="148">
        <f t="shared" si="13"/>
        <v>17.256342586399118</v>
      </c>
      <c r="AC212" s="148">
        <f t="shared" si="13"/>
        <v>18.787799015448897</v>
      </c>
      <c r="AD212" s="148">
        <f t="shared" si="13"/>
        <v>20.354641161339497</v>
      </c>
      <c r="AE212" s="148">
        <f t="shared" si="13"/>
        <v>21.956869024070496</v>
      </c>
      <c r="AF212" s="148">
        <f t="shared" si="13"/>
        <v>23.594482603641474</v>
      </c>
      <c r="AG212" s="148">
        <f t="shared" si="13"/>
        <v>25.267481900052438</v>
      </c>
      <c r="AH212" s="148">
        <f t="shared" si="13"/>
        <v>26.975866913303815</v>
      </c>
      <c r="AI212" s="148">
        <f t="shared" si="13"/>
        <v>28.719637643396407</v>
      </c>
      <c r="AJ212" s="148">
        <f t="shared" si="13"/>
        <v>30.498794090328168</v>
      </c>
      <c r="AK212" s="148">
        <f t="shared" si="13"/>
        <v>32.313336254100733</v>
      </c>
      <c r="AL212" s="148">
        <f t="shared" si="13"/>
        <v>34.163264134714112</v>
      </c>
      <c r="AM212" s="148">
        <f t="shared" si="13"/>
        <v>34.163264134714112</v>
      </c>
      <c r="AN212" s="148">
        <f t="shared" si="13"/>
        <v>34.163264134714112</v>
      </c>
      <c r="AO212" s="148">
        <f t="shared" si="13"/>
        <v>34.163264134714112</v>
      </c>
      <c r="AP212" s="148">
        <f t="shared" si="13"/>
        <v>34.163264134714098</v>
      </c>
      <c r="AQ212" s="148">
        <f t="shared" si="13"/>
        <v>34.163264134714098</v>
      </c>
      <c r="AR212" s="3" t="s">
        <v>165</v>
      </c>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131"/>
      <c r="CC212" s="131"/>
      <c r="CD212" s="131"/>
      <c r="CE212" s="131"/>
      <c r="CF212" s="131"/>
      <c r="CG212" s="131"/>
      <c r="CH212" s="131"/>
      <c r="CI212" s="131"/>
      <c r="CJ212" s="131"/>
      <c r="CK212" s="131"/>
      <c r="CL212" s="131"/>
      <c r="CM212" s="131"/>
      <c r="CN212" s="131"/>
      <c r="CO212" s="131"/>
      <c r="CP212" s="131"/>
      <c r="CQ212" s="131"/>
    </row>
    <row r="213" spans="1:95" ht="15" hidden="1" customHeight="1" outlineLevel="2" x14ac:dyDescent="0.25">
      <c r="A213" s="131"/>
      <c r="B213" s="131"/>
      <c r="C213" s="131"/>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3"/>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row>
    <row r="214" spans="1:95" ht="15" hidden="1" customHeight="1" outlineLevel="2" x14ac:dyDescent="0.25">
      <c r="A214" s="131"/>
      <c r="C214" s="176" t="s">
        <v>814</v>
      </c>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c r="AN214" s="150"/>
      <c r="AO214" s="150"/>
      <c r="AP214" s="150"/>
      <c r="AQ214" s="150"/>
      <c r="AR214" s="3"/>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row>
    <row r="215" spans="1:95" ht="15" hidden="1" customHeight="1" outlineLevel="2" x14ac:dyDescent="0.25">
      <c r="A215" s="131"/>
      <c r="B215" s="171" t="s">
        <v>760</v>
      </c>
      <c r="C215" s="177" t="s">
        <v>16</v>
      </c>
      <c r="D215" s="148">
        <v>1</v>
      </c>
      <c r="E215" s="148">
        <v>1</v>
      </c>
      <c r="F215" s="148">
        <v>0.5</v>
      </c>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3" t="s">
        <v>774</v>
      </c>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row>
    <row r="216" spans="1:95" ht="15" hidden="1" customHeight="1" outlineLevel="2" x14ac:dyDescent="0.25">
      <c r="A216" s="131"/>
      <c r="B216" s="171" t="s">
        <v>758</v>
      </c>
      <c r="C216" s="177" t="s">
        <v>17</v>
      </c>
      <c r="D216" s="148"/>
      <c r="E216" s="148"/>
      <c r="F216" s="148">
        <v>0.5</v>
      </c>
      <c r="G216" s="148">
        <v>1</v>
      </c>
      <c r="H216" s="148">
        <v>1</v>
      </c>
      <c r="I216" s="148">
        <v>0.5</v>
      </c>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3" t="s">
        <v>775</v>
      </c>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row>
    <row r="217" spans="1:95" ht="15" hidden="1" customHeight="1" outlineLevel="2" x14ac:dyDescent="0.25">
      <c r="A217" s="131"/>
      <c r="B217" s="171" t="s">
        <v>759</v>
      </c>
      <c r="C217" s="177" t="s">
        <v>18</v>
      </c>
      <c r="D217" s="148"/>
      <c r="E217" s="148"/>
      <c r="F217" s="148"/>
      <c r="G217" s="148"/>
      <c r="H217" s="148"/>
      <c r="I217" s="148">
        <v>0.5</v>
      </c>
      <c r="J217" s="148">
        <v>1</v>
      </c>
      <c r="K217" s="148">
        <v>1</v>
      </c>
      <c r="L217" s="148">
        <v>0.5</v>
      </c>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3" t="s">
        <v>776</v>
      </c>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row>
    <row r="218" spans="1:95" ht="15" hidden="1" customHeight="1" outlineLevel="2" x14ac:dyDescent="0.25">
      <c r="A218" s="131"/>
      <c r="B218" s="131"/>
      <c r="C218" s="177" t="s">
        <v>19</v>
      </c>
      <c r="D218" s="148"/>
      <c r="E218" s="148"/>
      <c r="F218" s="148"/>
      <c r="G218" s="148"/>
      <c r="H218" s="148"/>
      <c r="I218" s="148"/>
      <c r="J218" s="148"/>
      <c r="K218" s="148"/>
      <c r="L218" s="148">
        <v>0.5</v>
      </c>
      <c r="M218" s="148">
        <v>1</v>
      </c>
      <c r="N218" s="148">
        <v>1</v>
      </c>
      <c r="O218" s="148">
        <v>0.5</v>
      </c>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3" t="s">
        <v>777</v>
      </c>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row>
    <row r="219" spans="1:95" ht="15" hidden="1" customHeight="1" outlineLevel="2" x14ac:dyDescent="0.25">
      <c r="A219" s="131"/>
      <c r="B219" s="131"/>
      <c r="C219" s="177" t="s">
        <v>20</v>
      </c>
      <c r="D219" s="148"/>
      <c r="E219" s="148"/>
      <c r="F219" s="148"/>
      <c r="G219" s="148"/>
      <c r="H219" s="148"/>
      <c r="I219" s="148"/>
      <c r="J219" s="148"/>
      <c r="K219" s="148"/>
      <c r="L219" s="148"/>
      <c r="M219" s="148"/>
      <c r="N219" s="148"/>
      <c r="O219" s="148">
        <v>0.5</v>
      </c>
      <c r="P219" s="148">
        <v>1</v>
      </c>
      <c r="Q219" s="148">
        <v>1</v>
      </c>
      <c r="R219" s="148">
        <v>0.5</v>
      </c>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3" t="s">
        <v>778</v>
      </c>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row>
    <row r="220" spans="1:95" ht="15" hidden="1" customHeight="1" outlineLevel="2" x14ac:dyDescent="0.25">
      <c r="A220" s="131"/>
      <c r="B220" s="131"/>
      <c r="C220" s="177" t="s">
        <v>21</v>
      </c>
      <c r="D220" s="148"/>
      <c r="E220" s="148"/>
      <c r="F220" s="148"/>
      <c r="G220" s="148"/>
      <c r="H220" s="148"/>
      <c r="I220" s="148"/>
      <c r="J220" s="148"/>
      <c r="K220" s="148"/>
      <c r="L220" s="148"/>
      <c r="M220" s="148"/>
      <c r="N220" s="148"/>
      <c r="O220" s="148"/>
      <c r="P220" s="148"/>
      <c r="Q220" s="148"/>
      <c r="R220" s="148">
        <v>0.5</v>
      </c>
      <c r="S220" s="148">
        <v>1</v>
      </c>
      <c r="T220" s="148">
        <v>1</v>
      </c>
      <c r="U220" s="148">
        <v>0.5</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3" t="s">
        <v>779</v>
      </c>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row>
    <row r="221" spans="1:95" ht="15" hidden="1" customHeight="1" outlineLevel="2" x14ac:dyDescent="0.25">
      <c r="A221" s="131"/>
      <c r="B221" s="131"/>
      <c r="C221" s="177" t="s">
        <v>22</v>
      </c>
      <c r="D221" s="148"/>
      <c r="E221" s="148"/>
      <c r="F221" s="148"/>
      <c r="G221" s="148"/>
      <c r="H221" s="148"/>
      <c r="I221" s="148"/>
      <c r="J221" s="148"/>
      <c r="K221" s="148"/>
      <c r="L221" s="148"/>
      <c r="M221" s="148"/>
      <c r="N221" s="148"/>
      <c r="O221" s="148"/>
      <c r="P221" s="148"/>
      <c r="Q221" s="148"/>
      <c r="R221" s="148"/>
      <c r="S221" s="148"/>
      <c r="T221" s="148"/>
      <c r="U221" s="148">
        <v>0.5</v>
      </c>
      <c r="V221" s="148">
        <v>1</v>
      </c>
      <c r="W221" s="148">
        <v>1</v>
      </c>
      <c r="X221" s="148">
        <v>0.5</v>
      </c>
      <c r="Y221" s="148"/>
      <c r="Z221" s="148"/>
      <c r="AA221" s="148"/>
      <c r="AB221" s="148"/>
      <c r="AC221" s="148"/>
      <c r="AD221" s="148"/>
      <c r="AE221" s="148"/>
      <c r="AF221" s="148"/>
      <c r="AG221" s="148"/>
      <c r="AH221" s="148"/>
      <c r="AI221" s="148"/>
      <c r="AJ221" s="148"/>
      <c r="AK221" s="148"/>
      <c r="AL221" s="148"/>
      <c r="AM221" s="148"/>
      <c r="AN221" s="148"/>
      <c r="AO221" s="148"/>
      <c r="AP221" s="148"/>
      <c r="AQ221" s="148"/>
      <c r="AR221" s="3" t="s">
        <v>780</v>
      </c>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row>
    <row r="222" spans="1:95" ht="15" hidden="1" customHeight="1" outlineLevel="2" x14ac:dyDescent="0.25">
      <c r="A222" s="131"/>
      <c r="B222" s="131"/>
      <c r="C222" s="177" t="s">
        <v>23</v>
      </c>
      <c r="D222" s="148"/>
      <c r="E222" s="148"/>
      <c r="F222" s="148"/>
      <c r="G222" s="148"/>
      <c r="H222" s="148"/>
      <c r="I222" s="148"/>
      <c r="J222" s="148"/>
      <c r="K222" s="148"/>
      <c r="L222" s="148"/>
      <c r="M222" s="148"/>
      <c r="N222" s="148"/>
      <c r="O222" s="148"/>
      <c r="P222" s="148"/>
      <c r="Q222" s="148"/>
      <c r="R222" s="148"/>
      <c r="S222" s="148"/>
      <c r="T222" s="148"/>
      <c r="U222" s="148"/>
      <c r="V222" s="148"/>
      <c r="W222" s="148"/>
      <c r="X222" s="148">
        <v>0.5</v>
      </c>
      <c r="Y222" s="148">
        <v>1</v>
      </c>
      <c r="Z222" s="148">
        <v>1</v>
      </c>
      <c r="AA222" s="148">
        <v>0.5</v>
      </c>
      <c r="AB222" s="148"/>
      <c r="AC222" s="148"/>
      <c r="AD222" s="148"/>
      <c r="AE222" s="148"/>
      <c r="AF222" s="148"/>
      <c r="AG222" s="148"/>
      <c r="AH222" s="148"/>
      <c r="AI222" s="148"/>
      <c r="AJ222" s="148"/>
      <c r="AK222" s="148"/>
      <c r="AL222" s="148"/>
      <c r="AM222" s="148"/>
      <c r="AN222" s="148"/>
      <c r="AO222" s="148"/>
      <c r="AP222" s="148"/>
      <c r="AQ222" s="148"/>
      <c r="AR222" s="3" t="s">
        <v>781</v>
      </c>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row>
    <row r="223" spans="1:95" ht="15" hidden="1" customHeight="1" outlineLevel="2" x14ac:dyDescent="0.25">
      <c r="A223" s="131"/>
      <c r="B223" s="131"/>
      <c r="C223" s="177" t="s">
        <v>24</v>
      </c>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v>0.5</v>
      </c>
      <c r="AB223" s="148">
        <v>1</v>
      </c>
      <c r="AC223" s="148">
        <v>1</v>
      </c>
      <c r="AD223" s="148">
        <v>0.5</v>
      </c>
      <c r="AE223" s="148"/>
      <c r="AF223" s="148"/>
      <c r="AG223" s="148"/>
      <c r="AH223" s="148"/>
      <c r="AI223" s="148"/>
      <c r="AJ223" s="148"/>
      <c r="AK223" s="148"/>
      <c r="AL223" s="148"/>
      <c r="AM223" s="148"/>
      <c r="AN223" s="148"/>
      <c r="AO223" s="148"/>
      <c r="AP223" s="148"/>
      <c r="AQ223" s="148"/>
      <c r="AR223" s="3" t="s">
        <v>782</v>
      </c>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row>
    <row r="224" spans="1:95" ht="15" hidden="1" customHeight="1" outlineLevel="2" x14ac:dyDescent="0.25">
      <c r="A224" s="131"/>
      <c r="B224" s="131"/>
      <c r="C224" s="177" t="s">
        <v>25</v>
      </c>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v>0.5</v>
      </c>
      <c r="AE224" s="148">
        <v>1</v>
      </c>
      <c r="AF224" s="148">
        <v>1</v>
      </c>
      <c r="AG224" s="148">
        <v>0.5</v>
      </c>
      <c r="AH224" s="148"/>
      <c r="AI224" s="148"/>
      <c r="AJ224" s="148"/>
      <c r="AK224" s="148"/>
      <c r="AL224" s="148"/>
      <c r="AM224" s="148"/>
      <c r="AN224" s="148"/>
      <c r="AO224" s="148"/>
      <c r="AP224" s="148"/>
      <c r="AQ224" s="148"/>
      <c r="AR224" s="3" t="s">
        <v>783</v>
      </c>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row>
    <row r="225" spans="1:95" ht="15" hidden="1" customHeight="1" outlineLevel="2" x14ac:dyDescent="0.25">
      <c r="A225" s="131"/>
      <c r="B225" s="131"/>
      <c r="C225" s="177" t="s">
        <v>26</v>
      </c>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v>0.5</v>
      </c>
      <c r="AH225" s="148">
        <v>1</v>
      </c>
      <c r="AI225" s="148">
        <v>1</v>
      </c>
      <c r="AJ225" s="148">
        <v>0.5</v>
      </c>
      <c r="AK225" s="148"/>
      <c r="AL225" s="148"/>
      <c r="AM225" s="148"/>
      <c r="AN225" s="148"/>
      <c r="AO225" s="148"/>
      <c r="AP225" s="148"/>
      <c r="AQ225" s="148"/>
      <c r="AR225" s="3" t="s">
        <v>784</v>
      </c>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row>
    <row r="226" spans="1:95" ht="15" hidden="1" customHeight="1" outlineLevel="2" x14ac:dyDescent="0.25">
      <c r="A226" s="131"/>
      <c r="B226" s="131"/>
      <c r="C226" s="177" t="s">
        <v>27</v>
      </c>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v>0.5</v>
      </c>
      <c r="AK226" s="148">
        <v>1</v>
      </c>
      <c r="AL226" s="148">
        <v>1</v>
      </c>
      <c r="AM226" s="148">
        <v>0.5</v>
      </c>
      <c r="AN226" s="148"/>
      <c r="AO226" s="148"/>
      <c r="AP226" s="148"/>
      <c r="AQ226" s="148"/>
      <c r="AR226" s="3" t="s">
        <v>785</v>
      </c>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row>
    <row r="227" spans="1:95" ht="15" hidden="1" customHeight="1" outlineLevel="2" x14ac:dyDescent="0.25">
      <c r="A227" s="131"/>
      <c r="B227" s="131"/>
      <c r="C227" s="177" t="s">
        <v>28</v>
      </c>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v>0.5</v>
      </c>
      <c r="AN227" s="148">
        <v>1</v>
      </c>
      <c r="AO227" s="148">
        <v>1</v>
      </c>
      <c r="AP227" s="148">
        <v>0.5</v>
      </c>
      <c r="AQ227" s="148"/>
      <c r="AR227" s="3" t="s">
        <v>786</v>
      </c>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row>
    <row r="228" spans="1:95" ht="15" hidden="1" customHeight="1" outlineLevel="2" x14ac:dyDescent="0.25">
      <c r="A228" s="131"/>
      <c r="B228" s="21"/>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row>
    <row r="229" spans="1:95" ht="15" hidden="1" customHeight="1" outlineLevel="1" collapsed="1" x14ac:dyDescent="0.25">
      <c r="A229" s="131"/>
      <c r="B229" s="191" t="s">
        <v>63</v>
      </c>
      <c r="C229" s="131"/>
      <c r="D229" s="23" t="s">
        <v>16</v>
      </c>
      <c r="E229" s="24" t="s">
        <v>17</v>
      </c>
      <c r="F229" s="24" t="s">
        <v>18</v>
      </c>
      <c r="G229" s="24" t="s">
        <v>19</v>
      </c>
      <c r="H229" s="24" t="s">
        <v>20</v>
      </c>
      <c r="I229" s="24" t="s">
        <v>21</v>
      </c>
      <c r="J229" s="24" t="s">
        <v>22</v>
      </c>
      <c r="K229" s="24" t="s">
        <v>23</v>
      </c>
      <c r="L229" s="24" t="s">
        <v>24</v>
      </c>
      <c r="M229" s="24" t="s">
        <v>25</v>
      </c>
      <c r="N229" s="24" t="s">
        <v>26</v>
      </c>
      <c r="O229" s="24" t="s">
        <v>27</v>
      </c>
      <c r="P229" s="24" t="s">
        <v>28</v>
      </c>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row>
    <row r="230" spans="1:95" ht="15" hidden="1" customHeight="1" outlineLevel="1" x14ac:dyDescent="0.25">
      <c r="A230" s="131"/>
      <c r="B230" s="191"/>
      <c r="C230" s="131"/>
      <c r="D230" s="23" t="s">
        <v>17</v>
      </c>
      <c r="E230" s="24" t="s">
        <v>18</v>
      </c>
      <c r="F230" s="24" t="s">
        <v>19</v>
      </c>
      <c r="G230" s="24" t="s">
        <v>20</v>
      </c>
      <c r="H230" s="24" t="s">
        <v>21</v>
      </c>
      <c r="I230" s="24" t="s">
        <v>22</v>
      </c>
      <c r="J230" s="24" t="s">
        <v>23</v>
      </c>
      <c r="K230" s="24" t="s">
        <v>24</v>
      </c>
      <c r="L230" s="24" t="s">
        <v>25</v>
      </c>
      <c r="M230" s="24" t="s">
        <v>26</v>
      </c>
      <c r="N230" s="24" t="s">
        <v>27</v>
      </c>
      <c r="O230" s="24" t="s">
        <v>28</v>
      </c>
      <c r="P230" s="24" t="s">
        <v>29</v>
      </c>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row>
    <row r="231" spans="1:95" ht="15" hidden="1" customHeight="1" outlineLevel="1" x14ac:dyDescent="0.25">
      <c r="A231" s="131"/>
      <c r="B231" s="131" t="s">
        <v>98</v>
      </c>
      <c r="C231" s="131"/>
      <c r="D231" s="148">
        <f>SUMPRODUCT(AMI_values_1dB_table,AMI_1_to_3_dB_band_45)</f>
        <v>0</v>
      </c>
      <c r="E231" s="148">
        <f>SUMPRODUCT(AMI_values_1dB_table,AMI_1_to_3_dB_band_45_48)</f>
        <v>0</v>
      </c>
      <c r="F231" s="148">
        <f>SUMPRODUCT(AMI_values_1dB_table,AMI_1_to_3_dB_band_48_51)</f>
        <v>0</v>
      </c>
      <c r="G231" s="148">
        <f>SUMPRODUCT(AMI_values_1dB_table,AMI_1_to_3_dB_band_51_54)</f>
        <v>0</v>
      </c>
      <c r="H231" s="148">
        <f>SUMPRODUCT(AMI_values_1dB_table,AMI_1_to_3_dB_band_54_57)</f>
        <v>6.0785519420721679</v>
      </c>
      <c r="I231" s="148">
        <f>SUMPRODUCT(AMI_values_1dB_table,AMI_1_to_3_dB_band_57_60)</f>
        <v>17.051639131360176</v>
      </c>
      <c r="J231" s="148">
        <f>SUMPRODUCT(AMI_values_1dB_table,AMI_1_to_3_dB_band_60_63)</f>
        <v>28.446211106089574</v>
      </c>
      <c r="K231" s="148">
        <f>SUMPRODUCT(AMI_values_1dB_table,AMI_1_to_3_dB_band_63_66)</f>
        <v>40.796197435506684</v>
      </c>
      <c r="L231" s="148">
        <f>SUMPRODUCT(AMI_values_1dB_table,AMI_1_to_3_dB_band_66_69)</f>
        <v>54.101598119612838</v>
      </c>
      <c r="M231" s="148">
        <f>SUMPRODUCT(AMI_values_1dB_table,AMI_1_to_3_dB_band_69_72)</f>
        <v>68.362413158407932</v>
      </c>
      <c r="N231" s="148">
        <f>SUMPRODUCT(AMI_values_1dB_table,AMI_1_to_3_dB_band_72_75)</f>
        <v>83.578642551890525</v>
      </c>
      <c r="O231" s="148">
        <f>SUMPRODUCT(AMI_values_1dB_table,AMI_1_to_3_dB_band_75_78)</f>
        <v>98.807629501335981</v>
      </c>
      <c r="P231" s="148">
        <f>SUMPRODUCT(AMI_values_1dB_table,AMI_1_to_3_dB_band_78_81)</f>
        <v>102.48979240414232</v>
      </c>
      <c r="Q231" s="20" t="s">
        <v>150</v>
      </c>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row>
    <row r="232" spans="1:95" s="8" customFormat="1" ht="15" hidden="1" customHeight="1" outlineLevel="1" x14ac:dyDescent="0.25">
      <c r="A232" s="89"/>
      <c r="B232" s="22"/>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s="25" customFormat="1" ht="15" hidden="1" customHeight="1" outlineLevel="1" x14ac:dyDescent="0.25">
      <c r="A233" s="27"/>
      <c r="B233" s="134"/>
      <c r="C233" s="91" t="s">
        <v>15</v>
      </c>
      <c r="D233" s="92" t="s">
        <v>16</v>
      </c>
      <c r="E233" s="135" t="s">
        <v>17</v>
      </c>
      <c r="F233" s="135" t="s">
        <v>18</v>
      </c>
      <c r="G233" s="135" t="s">
        <v>19</v>
      </c>
      <c r="H233" s="135" t="s">
        <v>20</v>
      </c>
      <c r="I233" s="135" t="s">
        <v>21</v>
      </c>
      <c r="J233" s="135" t="s">
        <v>22</v>
      </c>
      <c r="K233" s="135" t="s">
        <v>23</v>
      </c>
      <c r="L233" s="135" t="s">
        <v>24</v>
      </c>
      <c r="M233" s="135" t="s">
        <v>25</v>
      </c>
      <c r="N233" s="135" t="s">
        <v>26</v>
      </c>
      <c r="O233" s="135" t="s">
        <v>27</v>
      </c>
      <c r="P233" s="135" t="s">
        <v>28</v>
      </c>
      <c r="Q233" s="135" t="s">
        <v>29</v>
      </c>
      <c r="R233" s="26" t="s">
        <v>99</v>
      </c>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row>
    <row r="234" spans="1:95" s="25" customFormat="1" ht="15" hidden="1" customHeight="1" outlineLevel="1" x14ac:dyDescent="0.25">
      <c r="A234" s="27"/>
      <c r="B234" s="91" t="s">
        <v>30</v>
      </c>
      <c r="C234" s="138"/>
      <c r="D234" s="138"/>
      <c r="E234" s="138"/>
      <c r="F234" s="138"/>
      <c r="G234" s="138"/>
      <c r="H234" s="138"/>
      <c r="I234" s="138"/>
      <c r="J234" s="138"/>
      <c r="K234" s="138"/>
      <c r="L234" s="138"/>
      <c r="M234" s="138"/>
      <c r="N234" s="138"/>
      <c r="O234" s="138"/>
      <c r="P234" s="138"/>
      <c r="Q234" s="136"/>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row>
    <row r="235" spans="1:95" s="25" customFormat="1" ht="15" hidden="1" customHeight="1" outlineLevel="1" x14ac:dyDescent="0.25">
      <c r="A235" s="27"/>
      <c r="B235" s="92" t="s">
        <v>16</v>
      </c>
      <c r="C235" s="110"/>
      <c r="D235" s="145">
        <v>0</v>
      </c>
      <c r="E235" s="145">
        <f>-(HLOOKUP(Noise_3dB_bands,AMI_values_3dB_table,2,0))</f>
        <v>0</v>
      </c>
      <c r="F235" s="145">
        <f>-(HLOOKUP(Noise_3dB_bands,AMI_values_3dB_table,2,0)) + Without_45_with_45_48_AMI_value</f>
        <v>0</v>
      </c>
      <c r="G235" s="145">
        <f>-(HLOOKUP(Noise_3dB_bands,AMI_values_3dB_table,2,0)) +Without_45_with_48_51_AMI_value</f>
        <v>0</v>
      </c>
      <c r="H235" s="145">
        <f>-(HLOOKUP(Noise_3dB_bands,AMI_values_3dB_table,2,0)) +Without_45_with_51_54_AMI_value</f>
        <v>0</v>
      </c>
      <c r="I235" s="145">
        <f>-(HLOOKUP(Noise_3dB_bands,AMI_values_3dB_table,2,0)) +Without_45_with_54_57_AMI_value</f>
        <v>-6.0785519420721679</v>
      </c>
      <c r="J235" s="145">
        <f>-(HLOOKUP(Noise_3dB_bands,AMI_values_3dB_table,2,0)) + Without_45_with_57_60_AMI_value</f>
        <v>-23.130191073432343</v>
      </c>
      <c r="K235" s="145">
        <f>-(HLOOKUP(Noise_3dB_bands,AMI_values_3dB_table,2,0)) +Without_45_with_60_63_AMI_value</f>
        <v>-51.576402179521921</v>
      </c>
      <c r="L235" s="145">
        <f>-(HLOOKUP(Noise_3dB_bands,AMI_values_3dB_table,2,0)) +Without_45_with_63_66_AMI_value</f>
        <v>-92.372599615028605</v>
      </c>
      <c r="M235" s="145">
        <f>-(HLOOKUP(Noise_3dB_bands,AMI_values_3dB_table,2,0)) +Without_45_with_66_69_AMI_value</f>
        <v>-146.47419773464145</v>
      </c>
      <c r="N235" s="145">
        <f>-(HLOOKUP(Noise_3dB_bands,AMI_values_3dB_table,2,0)) +Without_45_with_69_72_AMI_value</f>
        <v>-214.8366108930494</v>
      </c>
      <c r="O235" s="145">
        <f>-(HLOOKUP(Noise_3dB_bands,AMI_values_3dB_table,2,0)) +Without_45_with_72_75_AMI_value</f>
        <v>-298.41525344493994</v>
      </c>
      <c r="P235" s="145">
        <f>-(HLOOKUP(Noise_3dB_bands,AMI_values_3dB_table,2,0)) +Without_45_with_75_78_AMI_value</f>
        <v>-397.22288294627594</v>
      </c>
      <c r="Q235" s="145">
        <f>-(HLOOKUP(Noise_3dB_bands,AMI_values_3dB_table,2,0)) +Without_45_with_78_81_AMI_value</f>
        <v>-499.71267535041829</v>
      </c>
      <c r="R235" s="26" t="s">
        <v>151</v>
      </c>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row>
    <row r="236" spans="1:95" s="25" customFormat="1" ht="15" hidden="1" customHeight="1" outlineLevel="1" x14ac:dyDescent="0.25">
      <c r="A236" s="27"/>
      <c r="B236" s="135" t="s">
        <v>17</v>
      </c>
      <c r="C236" s="152"/>
      <c r="D236" s="145">
        <f>-Without_45_with_45_48_AMI_value</f>
        <v>0</v>
      </c>
      <c r="E236" s="145">
        <v>0</v>
      </c>
      <c r="F236" s="145">
        <f>-(HLOOKUP(Noise_3dB_bands,AMI_values_3dB_table,2,0))</f>
        <v>0</v>
      </c>
      <c r="G236" s="145">
        <f>-(HLOOKUP(Noise_3dB_bands,AMI_values_3dB_table,2,0))+Without_45_48_with_48_51_AMI_value</f>
        <v>0</v>
      </c>
      <c r="H236" s="145">
        <f>-(HLOOKUP(Noise_3dB_bands,AMI_values_3dB_table,2,0))+Without_45_48_with_51_54_AMI_value</f>
        <v>0</v>
      </c>
      <c r="I236" s="145">
        <f>-(HLOOKUP(Noise_3dB_bands,AMI_values_3dB_table,2,0))+Without_45_48_with_54_57_AMI_value</f>
        <v>-6.0785519420721679</v>
      </c>
      <c r="J236" s="145">
        <f>-(HLOOKUP(Noise_3dB_bands,AMI_values_3dB_table,2,0))+Without_45_48_with_57_60_AMI_value</f>
        <v>-23.130191073432343</v>
      </c>
      <c r="K236" s="145">
        <f>-(HLOOKUP(Noise_3dB_bands,AMI_values_3dB_table,2,0))+Without_45_48_with_60_63_AMI_value</f>
        <v>-51.576402179521921</v>
      </c>
      <c r="L236" s="145">
        <f>-(HLOOKUP(Noise_3dB_bands,AMI_values_3dB_table,2,0))+Without_45_48_with_63_66_AMI_value</f>
        <v>-92.372599615028605</v>
      </c>
      <c r="M236" s="145">
        <f>-(HLOOKUP(Noise_3dB_bands,AMI_values_3dB_table,2,0))+Without_45_48_with_66_69_AMI_value</f>
        <v>-146.47419773464145</v>
      </c>
      <c r="N236" s="145">
        <f>-(HLOOKUP(Noise_3dB_bands,AMI_values_3dB_table,2,0))+Without_45_48_with_69_72_AMI_value</f>
        <v>-214.8366108930494</v>
      </c>
      <c r="O236" s="145">
        <f>-(HLOOKUP(Noise_3dB_bands,AMI_values_3dB_table,2,0))+Without_45_48_with_72_75_AMI_value</f>
        <v>-298.41525344493994</v>
      </c>
      <c r="P236" s="145">
        <f>-(HLOOKUP(Noise_3dB_bands,AMI_values_3dB_table,2,0))+Without_45_48_with_75_78_AMI_value</f>
        <v>-397.22288294627594</v>
      </c>
      <c r="Q236" s="145">
        <f>-(HLOOKUP(Noise_3dB_bands,AMI_values_3dB_table,2,0))+Without_45_48_with_78_81_AMI_value</f>
        <v>-499.71267535041829</v>
      </c>
      <c r="R236" s="26" t="s">
        <v>152</v>
      </c>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row>
    <row r="237" spans="1:95" s="25" customFormat="1" ht="15" hidden="1" customHeight="1" outlineLevel="1" x14ac:dyDescent="0.25">
      <c r="A237" s="27"/>
      <c r="B237" s="135" t="s">
        <v>18</v>
      </c>
      <c r="C237" s="152"/>
      <c r="D237" s="145">
        <f>-Without_45_with_48_51_AMI_value</f>
        <v>0</v>
      </c>
      <c r="E237" s="145">
        <f>-Without_45_48_with_48_51_AMI_value</f>
        <v>0</v>
      </c>
      <c r="F237" s="145">
        <v>0</v>
      </c>
      <c r="G237" s="145">
        <f>-(HLOOKUP(Noise_3dB_bands,AMI_values_3dB_table,2,0))</f>
        <v>0</v>
      </c>
      <c r="H237" s="145">
        <f>-(HLOOKUP(Noise_3dB_bands,AMI_values_3dB_table,2,0))+Without_48_51_with_51_54_AMI_value</f>
        <v>0</v>
      </c>
      <c r="I237" s="145">
        <f>-(HLOOKUP(Noise_3dB_bands,AMI_values_3dB_table,2,0))+Without_48_51_with_54_57_AMI_value</f>
        <v>-6.0785519420721679</v>
      </c>
      <c r="J237" s="145">
        <f>-(HLOOKUP(Noise_3dB_bands,AMI_values_3dB_table,2,0))+Without_48_51_with_57_60_AMI_value</f>
        <v>-23.130191073432343</v>
      </c>
      <c r="K237" s="145">
        <f>-(HLOOKUP(Noise_3dB_bands,AMI_values_3dB_table,2,0))+Without_48_51_with_60_63_AMI_value</f>
        <v>-51.576402179521921</v>
      </c>
      <c r="L237" s="145">
        <f>-(HLOOKUP(Noise_3dB_bands,AMI_values_3dB_table,2,0))+Without_48_51_with_63_66_AMI_value</f>
        <v>-92.372599615028605</v>
      </c>
      <c r="M237" s="145">
        <f>-(HLOOKUP(Noise_3dB_bands,AMI_values_3dB_table,2,0))+Without_48_51_with_66_69_AMI_value</f>
        <v>-146.47419773464145</v>
      </c>
      <c r="N237" s="145">
        <f>-(HLOOKUP(Noise_3dB_bands,AMI_values_3dB_table,2,0))+Without_48_51_with_69_72_AMI_value</f>
        <v>-214.8366108930494</v>
      </c>
      <c r="O237" s="145">
        <f>-(HLOOKUP(Noise_3dB_bands,AMI_values_3dB_table,2,0))+Without_48_51_with_72_75_AMI_value</f>
        <v>-298.41525344493994</v>
      </c>
      <c r="P237" s="145">
        <f>-(HLOOKUP(Noise_3dB_bands,AMI_values_3dB_table,2,0))+Without_48_51_with_75_78_AMI_value</f>
        <v>-397.22288294627594</v>
      </c>
      <c r="Q237" s="145">
        <f>-(HLOOKUP(Noise_3dB_bands,AMI_values_3dB_table,2,0))+Without_48_51_with_78_81_AMI_value</f>
        <v>-499.71267535041829</v>
      </c>
      <c r="R237" s="26" t="s">
        <v>153</v>
      </c>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row>
    <row r="238" spans="1:95" s="25" customFormat="1" ht="15" hidden="1" customHeight="1" outlineLevel="1" x14ac:dyDescent="0.25">
      <c r="A238" s="27"/>
      <c r="B238" s="135" t="s">
        <v>19</v>
      </c>
      <c r="C238" s="152"/>
      <c r="D238" s="145">
        <f>-Without_45_with_51_54_AMI_value</f>
        <v>0</v>
      </c>
      <c r="E238" s="145">
        <f>-Without_45_48_with_51_54_AMI_value</f>
        <v>0</v>
      </c>
      <c r="F238" s="145">
        <f>-Without_48_51_with_51_54_AMI_value</f>
        <v>0</v>
      </c>
      <c r="G238" s="145">
        <v>0</v>
      </c>
      <c r="H238" s="145">
        <f>-(HLOOKUP(Noise_3dB_bands,AMI_values_3dB_table,2,0))</f>
        <v>0</v>
      </c>
      <c r="I238" s="145">
        <f>-(HLOOKUP(Noise_3dB_bands,AMI_values_3dB_table,2,0))+Without_51_54_with_54_57_AMI_value</f>
        <v>-6.0785519420721679</v>
      </c>
      <c r="J238" s="145">
        <f>-(HLOOKUP(Noise_3dB_bands,AMI_values_3dB_table,2,0))+Without_51_54_with_57_60_AMI_value</f>
        <v>-23.130191073432343</v>
      </c>
      <c r="K238" s="145">
        <f>-(HLOOKUP(Noise_3dB_bands,AMI_values_3dB_table,2,0))+Without_51_54_with_60_63_AMI_value</f>
        <v>-51.576402179521921</v>
      </c>
      <c r="L238" s="145">
        <f>-(HLOOKUP(Noise_3dB_bands,AMI_values_3dB_table,2,0))+Without_51_54_with_63_66_AMI_value</f>
        <v>-92.372599615028605</v>
      </c>
      <c r="M238" s="145">
        <f>-(HLOOKUP(Noise_3dB_bands,AMI_values_3dB_table,2,0))+Without_51_54_with_66_69_AMI_value</f>
        <v>-146.47419773464145</v>
      </c>
      <c r="N238" s="145">
        <f>-(HLOOKUP(Noise_3dB_bands,AMI_values_3dB_table,2,0))+Without_51_54_with_69_72_AMI_value</f>
        <v>-214.8366108930494</v>
      </c>
      <c r="O238" s="145">
        <f>-(HLOOKUP(Noise_3dB_bands,AMI_values_3dB_table,2,0))+Without_51_54_with_72_75_AMI_value</f>
        <v>-298.41525344493994</v>
      </c>
      <c r="P238" s="145">
        <f>-(HLOOKUP(Noise_3dB_bands,AMI_values_3dB_table,2,0))+Without_51_54_with_75_78_AMI_value</f>
        <v>-397.22288294627594</v>
      </c>
      <c r="Q238" s="145">
        <f>-(HLOOKUP(Noise_3dB_bands,AMI_values_3dB_table,2,0))+Without_51_54_with_78_81_AMI_value</f>
        <v>-499.71267535041829</v>
      </c>
      <c r="R238" s="26" t="s">
        <v>154</v>
      </c>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row>
    <row r="239" spans="1:95" s="25" customFormat="1" ht="15" hidden="1" customHeight="1" outlineLevel="1" x14ac:dyDescent="0.25">
      <c r="A239" s="27"/>
      <c r="B239" s="135" t="s">
        <v>20</v>
      </c>
      <c r="C239" s="152"/>
      <c r="D239" s="145">
        <f>-Without_45_with_54_57_AMI_value</f>
        <v>0</v>
      </c>
      <c r="E239" s="145">
        <f>-Without_45_48_with_54_57_AMI_value</f>
        <v>0</v>
      </c>
      <c r="F239" s="145">
        <f>-Without_48_51_with_54_57_AMI_value</f>
        <v>0</v>
      </c>
      <c r="G239" s="145">
        <f>-Without_51_54_with_54_57_AMI_value</f>
        <v>0</v>
      </c>
      <c r="H239" s="145">
        <v>0</v>
      </c>
      <c r="I239" s="145">
        <f>-(HLOOKUP(Noise_3dB_bands,AMI_values_3dB_table,2,0))</f>
        <v>-6.0785519420721679</v>
      </c>
      <c r="J239" s="145">
        <f>-(HLOOKUP(Noise_3dB_bands,AMI_values_3dB_table,2,0))+Without_54_57_with_57_60_AMI_value</f>
        <v>-23.130191073432343</v>
      </c>
      <c r="K239" s="145">
        <f>-(HLOOKUP(Noise_3dB_bands,AMI_values_3dB_table,2,0))+Without_54_57_with_60_63_AMI_value</f>
        <v>-51.576402179521921</v>
      </c>
      <c r="L239" s="145">
        <f>-(HLOOKUP(Noise_3dB_bands,AMI_values_3dB_table,2,0))+Without_54_57_with_63_66_AMI_value</f>
        <v>-92.372599615028605</v>
      </c>
      <c r="M239" s="145">
        <f>-(HLOOKUP(Noise_3dB_bands,AMI_values_3dB_table,2,0))+Without_54_57_with_66_69_AMI_value</f>
        <v>-146.47419773464145</v>
      </c>
      <c r="N239" s="145">
        <f>-(HLOOKUP(Noise_3dB_bands,AMI_values_3dB_table,2,0))+Without_54_57_with_69_72_AMI_value</f>
        <v>-214.8366108930494</v>
      </c>
      <c r="O239" s="145">
        <f>-(HLOOKUP(Noise_3dB_bands,AMI_values_3dB_table,2,0))+Without_54_57_with_72_75_AMI_value</f>
        <v>-298.41525344493994</v>
      </c>
      <c r="P239" s="145">
        <f>-(HLOOKUP(Noise_3dB_bands,AMI_values_3dB_table,2,0))+Without_54_57_with_75_78_AMI_value</f>
        <v>-397.22288294627594</v>
      </c>
      <c r="Q239" s="145">
        <f>-(HLOOKUP(Noise_3dB_bands,AMI_values_3dB_table,2,0))+Without_54_57_with_78_81_AMI_value</f>
        <v>-499.71267535041829</v>
      </c>
      <c r="R239" s="26" t="s">
        <v>155</v>
      </c>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row>
    <row r="240" spans="1:95" s="25" customFormat="1" ht="15" hidden="1" customHeight="1" outlineLevel="1" x14ac:dyDescent="0.25">
      <c r="A240" s="27"/>
      <c r="B240" s="135" t="s">
        <v>21</v>
      </c>
      <c r="C240" s="152"/>
      <c r="D240" s="145">
        <f>-Without_45_with_57_60_AMI_value</f>
        <v>6.0785519420721679</v>
      </c>
      <c r="E240" s="145">
        <f>-Without_45_48_with_57_60_AMI_value</f>
        <v>6.0785519420721679</v>
      </c>
      <c r="F240" s="145">
        <f>-Without_48_51_with_57_60_AMI_value</f>
        <v>6.0785519420721679</v>
      </c>
      <c r="G240" s="145">
        <f>-Without_51_54_with_57_60_AMI_value</f>
        <v>6.0785519420721679</v>
      </c>
      <c r="H240" s="145">
        <f>-Without_54_57_with_57_60_AMI_value</f>
        <v>6.0785519420721679</v>
      </c>
      <c r="I240" s="145">
        <v>0</v>
      </c>
      <c r="J240" s="145">
        <f>-(HLOOKUP(Noise_3dB_bands,AMI_values_3dB_table,2,0))</f>
        <v>-17.051639131360176</v>
      </c>
      <c r="K240" s="145">
        <f>-(HLOOKUP(Noise_3dB_bands,AMI_values_3dB_table,2,0))+Without_57_60_with_60_63_AMI_value</f>
        <v>-45.497850237449754</v>
      </c>
      <c r="L240" s="145">
        <f>-(HLOOKUP(Noise_3dB_bands,AMI_values_3dB_table,2,0))+Without_57_60_with_63_66_AMI_value</f>
        <v>-86.294047672956438</v>
      </c>
      <c r="M240" s="145">
        <f>-(HLOOKUP(Noise_3dB_bands,AMI_values_3dB_table,2,0))+Without_57_60_with_66_69_AMI_value</f>
        <v>-140.39564579256927</v>
      </c>
      <c r="N240" s="145">
        <f>-(HLOOKUP(Noise_3dB_bands,AMI_values_3dB_table,2,0))+Without_57_60_with_69_72_AMI_value</f>
        <v>-208.75805895097722</v>
      </c>
      <c r="O240" s="145">
        <f>-(HLOOKUP(Noise_3dB_bands,AMI_values_3dB_table,2,0))+Without_57_60_with_72_75_AMI_value</f>
        <v>-292.33670150286775</v>
      </c>
      <c r="P240" s="145">
        <f>-(HLOOKUP(Noise_3dB_bands,AMI_values_3dB_table,2,0))+Without_57_60_with_75_78_AMI_value</f>
        <v>-391.14433100420376</v>
      </c>
      <c r="Q240" s="145">
        <f>-(HLOOKUP(Noise_3dB_bands,AMI_values_3dB_table,2,0))+Without_57_60_with_78_81_AMI_value</f>
        <v>-493.63412340834611</v>
      </c>
      <c r="R240" s="26" t="s">
        <v>156</v>
      </c>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row>
    <row r="241" spans="1:96" s="25" customFormat="1" ht="15" hidden="1" customHeight="1" outlineLevel="1" x14ac:dyDescent="0.25">
      <c r="A241" s="27"/>
      <c r="B241" s="135" t="s">
        <v>22</v>
      </c>
      <c r="C241" s="152"/>
      <c r="D241" s="145">
        <f>-Without_45_with_60_63_AMI_value</f>
        <v>23.130191073432343</v>
      </c>
      <c r="E241" s="145">
        <f>-Without_45_48_with_60_63_AMI_value</f>
        <v>23.130191073432343</v>
      </c>
      <c r="F241" s="145">
        <f>-Without_48_51_with_60_63_AMI_value</f>
        <v>23.130191073432343</v>
      </c>
      <c r="G241" s="145">
        <f>-Without_51_54_with_60_63_AMI_value</f>
        <v>23.130191073432343</v>
      </c>
      <c r="H241" s="145">
        <f>-Without_54_57_with_60_63_AMI_value</f>
        <v>23.130191073432343</v>
      </c>
      <c r="I241" s="145">
        <f>-Without_57_60_with_60_63_AMI_value</f>
        <v>17.051639131360176</v>
      </c>
      <c r="J241" s="145">
        <v>0</v>
      </c>
      <c r="K241" s="145">
        <f>-(HLOOKUP(Noise_3dB_bands,AMI_values_3dB_table,2,0))</f>
        <v>-28.446211106089574</v>
      </c>
      <c r="L241" s="145">
        <f>-(HLOOKUP(Noise_3dB_bands,AMI_values_3dB_table,2,0))+Without_60_63_with_63_66_AMI_value</f>
        <v>-69.242408541596262</v>
      </c>
      <c r="M241" s="145">
        <f>-(HLOOKUP(Noise_3dB_bands,AMI_values_3dB_table,2,0))+Without_60_63_with_66_69_AMI_value</f>
        <v>-123.34400666120911</v>
      </c>
      <c r="N241" s="145">
        <f>-(HLOOKUP(Noise_3dB_bands,AMI_values_3dB_table,2,0))+Without_60_63_with_69_72_AMI_value</f>
        <v>-191.70641981961705</v>
      </c>
      <c r="O241" s="145">
        <f>-(HLOOKUP(Noise_3dB_bands,AMI_values_3dB_table,2,0))+Without_60_63_with_72_75_AMI_value</f>
        <v>-275.28506237150759</v>
      </c>
      <c r="P241" s="145">
        <f>-(HLOOKUP(Noise_3dB_bands,AMI_values_3dB_table,2,0))+Without_60_63_with_75_78_AMI_value</f>
        <v>-374.0926918728436</v>
      </c>
      <c r="Q241" s="145">
        <f>-(HLOOKUP(Noise_3dB_bands,AMI_values_3dB_table,2,0))+Without_60_63_with_78_81_AMI_value</f>
        <v>-476.58248427698595</v>
      </c>
      <c r="R241" s="26" t="s">
        <v>157</v>
      </c>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row>
    <row r="242" spans="1:96" s="25" customFormat="1" ht="15" hidden="1" customHeight="1" outlineLevel="1" x14ac:dyDescent="0.25">
      <c r="A242" s="27"/>
      <c r="B242" s="135" t="s">
        <v>23</v>
      </c>
      <c r="C242" s="152"/>
      <c r="D242" s="145">
        <f>-Without_45_with_63_66_AMI_value</f>
        <v>51.576402179521921</v>
      </c>
      <c r="E242" s="145">
        <f>-Without_45_48_with_63_66_AMI_value</f>
        <v>51.576402179521921</v>
      </c>
      <c r="F242" s="145">
        <f>-Without_48_51_with_63_66_AMI_value</f>
        <v>51.576402179521921</v>
      </c>
      <c r="G242" s="145">
        <f>-Without_51_54_with_63_66_AMI_value</f>
        <v>51.576402179521921</v>
      </c>
      <c r="H242" s="145">
        <f>-Without_54_57_with_63_66_AMI_value</f>
        <v>51.576402179521921</v>
      </c>
      <c r="I242" s="145">
        <f>-Without_57_60_with_63_66_AMI_value</f>
        <v>45.497850237449754</v>
      </c>
      <c r="J242" s="145">
        <f>-Without_60_63_with_63_66_AMI_value</f>
        <v>28.446211106089574</v>
      </c>
      <c r="K242" s="145">
        <v>0</v>
      </c>
      <c r="L242" s="145">
        <f>-(HLOOKUP(Noise_3dB_bands,AMI_values_3dB_table,2,0))</f>
        <v>-40.796197435506684</v>
      </c>
      <c r="M242" s="145">
        <f>-(HLOOKUP(Noise_3dB_bands,AMI_values_3dB_table,2,0))+Without_63_66_with_66_69_AMI_value</f>
        <v>-94.897795555119529</v>
      </c>
      <c r="N242" s="145">
        <f>-(HLOOKUP(Noise_3dB_bands,AMI_values_3dB_table,2,0))+Without_63_66_with_69_72_AMI_value</f>
        <v>-163.26020871352745</v>
      </c>
      <c r="O242" s="145">
        <f>-(HLOOKUP(Noise_3dB_bands,AMI_values_3dB_table,2,0))+Without_63_66_with_72_75_AMI_value</f>
        <v>-246.83885126541799</v>
      </c>
      <c r="P242" s="145">
        <f>-(HLOOKUP(Noise_3dB_bands,AMI_values_3dB_table,2,0))+Without_63_66_with_75_78_AMI_value</f>
        <v>-345.64648076675394</v>
      </c>
      <c r="Q242" s="145">
        <f>-(HLOOKUP(Noise_3dB_bands,AMI_values_3dB_table,2,0))+Without_63_66_with_78_81_AMI_value</f>
        <v>-448.13627317089629</v>
      </c>
      <c r="R242" s="26" t="s">
        <v>158</v>
      </c>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row>
    <row r="243" spans="1:96" s="8" customFormat="1" ht="15" hidden="1" customHeight="1" outlineLevel="1" x14ac:dyDescent="0.25">
      <c r="A243" s="89"/>
      <c r="B243" s="135" t="s">
        <v>24</v>
      </c>
      <c r="C243" s="152"/>
      <c r="D243" s="145">
        <f>-Without_45_with_66_69_AMI_value</f>
        <v>92.372599615028605</v>
      </c>
      <c r="E243" s="145">
        <f>-Without_45_48_with_66_69_AMI_value</f>
        <v>92.372599615028605</v>
      </c>
      <c r="F243" s="145">
        <f>-Without_48_51_with_66_69_AMI_value</f>
        <v>92.372599615028605</v>
      </c>
      <c r="G243" s="145">
        <f>-Without_51_54_with_66_69_AMI_value</f>
        <v>92.372599615028605</v>
      </c>
      <c r="H243" s="145">
        <f>-Without_54_57_with_66_69_AMI_value</f>
        <v>92.372599615028605</v>
      </c>
      <c r="I243" s="145">
        <f>-Without_57_60_with_66_69_AMI_value</f>
        <v>86.294047672956438</v>
      </c>
      <c r="J243" s="145">
        <f>-Without_60_63_with_66_69_AMI_value</f>
        <v>69.242408541596262</v>
      </c>
      <c r="K243" s="145">
        <f>-Without_63_66_with_66_69_AMI_value</f>
        <v>40.796197435506684</v>
      </c>
      <c r="L243" s="145">
        <v>0</v>
      </c>
      <c r="M243" s="145">
        <f>-(HLOOKUP(Noise_3dB_bands,AMI_values_3dB_table,2,0))</f>
        <v>-54.101598119612838</v>
      </c>
      <c r="N243" s="145">
        <f>-(HLOOKUP(Noise_3dB_bands,AMI_values_3dB_table,2,0))+Without_66_69_with_69_72_AMI_value</f>
        <v>-122.46401127802076</v>
      </c>
      <c r="O243" s="145">
        <f>-(HLOOKUP(Noise_3dB_bands,AMI_values_3dB_table,2,0))+Without_66_69_with_72_75_AMI_value</f>
        <v>-206.04265382991127</v>
      </c>
      <c r="P243" s="145">
        <f>-(HLOOKUP(Noise_3dB_bands,AMI_values_3dB_table,2,0))+Without_66_69_with_75_78_AMI_value</f>
        <v>-304.85028333124728</v>
      </c>
      <c r="Q243" s="145">
        <f>-(HLOOKUP(Noise_3dB_bands,AMI_values_3dB_table,2,0))+Without_66_69_with_78_81_AMI_value</f>
        <v>-407.34007573538963</v>
      </c>
      <c r="R243" s="26" t="s">
        <v>159</v>
      </c>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row>
    <row r="244" spans="1:96" s="8" customFormat="1" ht="15" hidden="1" customHeight="1" outlineLevel="1" x14ac:dyDescent="0.25">
      <c r="A244" s="89"/>
      <c r="B244" s="135" t="s">
        <v>25</v>
      </c>
      <c r="C244" s="152"/>
      <c r="D244" s="145">
        <f>-Without_45_with_69_72_AMI_value</f>
        <v>146.47419773464145</v>
      </c>
      <c r="E244" s="145">
        <f>-Without_45_48_with_69_72_AMI_value</f>
        <v>146.47419773464145</v>
      </c>
      <c r="F244" s="145">
        <f>-Without_48_51_with_69_72_AMI_value</f>
        <v>146.47419773464145</v>
      </c>
      <c r="G244" s="145">
        <f>-Without_51_54_with_69_72_AMI_value</f>
        <v>146.47419773464145</v>
      </c>
      <c r="H244" s="145">
        <f>-Without_54_57_with_69_72_AMI_value</f>
        <v>146.47419773464145</v>
      </c>
      <c r="I244" s="145">
        <f>-Without_57_60_with_69_72_AMI_value</f>
        <v>140.39564579256927</v>
      </c>
      <c r="J244" s="145">
        <f>-Without_60_63_with_69_72_AMI_value</f>
        <v>123.34400666120911</v>
      </c>
      <c r="K244" s="145">
        <f>-Without_63_66_with_69_72_AMI_value</f>
        <v>94.897795555119529</v>
      </c>
      <c r="L244" s="145">
        <f>-Without_66_69_with_69_72_AMI_value</f>
        <v>54.101598119612838</v>
      </c>
      <c r="M244" s="145">
        <v>0</v>
      </c>
      <c r="N244" s="145">
        <f>-(HLOOKUP(Noise_3dB_bands,AMI_values_3dB_table,2,0))</f>
        <v>-68.362413158407932</v>
      </c>
      <c r="O244" s="145">
        <f>-(HLOOKUP(Noise_3dB_bands,AMI_values_3dB_table,2,0))+Without_69_72_with_72_75_AMI_value</f>
        <v>-151.94105571029846</v>
      </c>
      <c r="P244" s="145">
        <f>-(HLOOKUP(Noise_3dB_bands,AMI_values_3dB_table,2,0))+Without_69_72_with_75_78_AMI_value</f>
        <v>-250.74868521163444</v>
      </c>
      <c r="Q244" s="145">
        <f>-(HLOOKUP(Noise_3dB_bands,AMI_values_3dB_table,2,0))+Without_69_72_with_78_81_AMI_value</f>
        <v>-353.23847761577679</v>
      </c>
      <c r="R244" s="26" t="s">
        <v>160</v>
      </c>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row>
    <row r="245" spans="1:96" s="8" customFormat="1" ht="15" hidden="1" customHeight="1" outlineLevel="1" x14ac:dyDescent="0.25">
      <c r="A245" s="89"/>
      <c r="B245" s="135" t="s">
        <v>26</v>
      </c>
      <c r="C245" s="152"/>
      <c r="D245" s="145">
        <f>-Without_45_with_72_75_AMI_value</f>
        <v>214.8366108930494</v>
      </c>
      <c r="E245" s="145">
        <f>-Without_45_48_with_72_75_AMI_value</f>
        <v>214.8366108930494</v>
      </c>
      <c r="F245" s="145">
        <f>-Without_48_51_with_72_75_AMI_value</f>
        <v>214.8366108930494</v>
      </c>
      <c r="G245" s="145">
        <f>-Without_51_54_with_72_75_AMI_value</f>
        <v>214.8366108930494</v>
      </c>
      <c r="H245" s="145">
        <f>-Without_54_57_with_72_75_AMI_value</f>
        <v>214.8366108930494</v>
      </c>
      <c r="I245" s="145">
        <f>-Without_57_60_with_72_75_AMI_value</f>
        <v>208.75805895097722</v>
      </c>
      <c r="J245" s="145">
        <f>-Without_60_63_with_72_75_AMI_value</f>
        <v>191.70641981961705</v>
      </c>
      <c r="K245" s="145">
        <f>-Without_63_66_with_72_75_AMI_value</f>
        <v>163.26020871352745</v>
      </c>
      <c r="L245" s="145">
        <f>-Without_66_69_with_72_75_AMI_value</f>
        <v>122.46401127802076</v>
      </c>
      <c r="M245" s="145">
        <f>-Without_69_72_with_72_75_AMI_value</f>
        <v>68.362413158407932</v>
      </c>
      <c r="N245" s="145">
        <v>0</v>
      </c>
      <c r="O245" s="145">
        <f>-(HLOOKUP(Noise_3dB_bands,AMI_values_3dB_table,2,0))</f>
        <v>-83.578642551890525</v>
      </c>
      <c r="P245" s="145">
        <f>-(HLOOKUP(Noise_3dB_bands,AMI_values_3dB_table,2,0))+Without_72_75_with_75_78_AMI_value</f>
        <v>-182.38627205322649</v>
      </c>
      <c r="Q245" s="145">
        <f>-(HLOOKUP(Noise_3dB_bands,AMI_values_3dB_table,2,0))+Without_72_75_with_78_81_AMI_value</f>
        <v>-284.87606445736878</v>
      </c>
      <c r="R245" s="26" t="s">
        <v>161</v>
      </c>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row>
    <row r="246" spans="1:96" s="8" customFormat="1" ht="15" hidden="1" customHeight="1" outlineLevel="1" x14ac:dyDescent="0.25">
      <c r="A246" s="89"/>
      <c r="B246" s="135" t="s">
        <v>27</v>
      </c>
      <c r="C246" s="152"/>
      <c r="D246" s="145">
        <f>-Without_45_with_75_78_AMI_value</f>
        <v>298.41525344493994</v>
      </c>
      <c r="E246" s="145">
        <f>-Without_45_48_with_75_78_AMI_value</f>
        <v>298.41525344493994</v>
      </c>
      <c r="F246" s="145">
        <f>-Without_48_51_with_75_78_AMI_value</f>
        <v>298.41525344493994</v>
      </c>
      <c r="G246" s="145">
        <f>-Without_51_54_with_75_78_AMI_value</f>
        <v>298.41525344493994</v>
      </c>
      <c r="H246" s="145">
        <f>-Without_54_57_with_75_78_AMI_value</f>
        <v>298.41525344493994</v>
      </c>
      <c r="I246" s="145">
        <f>-Without_57_60_with_75_78_AMI_value</f>
        <v>292.33670150286775</v>
      </c>
      <c r="J246" s="145">
        <f>-Without_60_63_with_75_78_AMI_value</f>
        <v>275.28506237150759</v>
      </c>
      <c r="K246" s="145">
        <f>-Without_63_66_with_75_78_AMI_value</f>
        <v>246.83885126541799</v>
      </c>
      <c r="L246" s="145">
        <f>-Without_66_69_with_75_78_AMI_value</f>
        <v>206.04265382991127</v>
      </c>
      <c r="M246" s="145">
        <f>-Without_69_72_with_75_78_AMI_value</f>
        <v>151.94105571029846</v>
      </c>
      <c r="N246" s="145">
        <f>-Without_72_75_with_75_78_AMI_value</f>
        <v>83.578642551890525</v>
      </c>
      <c r="O246" s="145">
        <v>0</v>
      </c>
      <c r="P246" s="145">
        <f>-(HLOOKUP(Noise_3dB_bands,AMI_values_3dB_table,2,0))</f>
        <v>-98.807629501335981</v>
      </c>
      <c r="Q246" s="145">
        <f>-(HLOOKUP(Noise_3dB_bands,AMI_values_3dB_table,2,0))+Without_75_78_with_78_81_AMI_value</f>
        <v>-201.2974219054783</v>
      </c>
      <c r="R246" s="26" t="s">
        <v>162</v>
      </c>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28"/>
    </row>
    <row r="247" spans="1:96" s="8" customFormat="1" ht="15" hidden="1" customHeight="1" outlineLevel="1" x14ac:dyDescent="0.25">
      <c r="A247" s="89"/>
      <c r="B247" s="135" t="s">
        <v>28</v>
      </c>
      <c r="C247" s="152"/>
      <c r="D247" s="145">
        <f>-Without_45_with_78_81_AMI_value</f>
        <v>397.22288294627594</v>
      </c>
      <c r="E247" s="145">
        <f>-Without_45_48_with_78_81_AMI_value</f>
        <v>397.22288294627594</v>
      </c>
      <c r="F247" s="145">
        <f>-Without_48_51_with_78_81_AMI_value</f>
        <v>397.22288294627594</v>
      </c>
      <c r="G247" s="145">
        <f>-Without_51_54_with_78_81_AMI_value</f>
        <v>397.22288294627594</v>
      </c>
      <c r="H247" s="145">
        <f>-Without_54_57_with_78_81_AMI_value</f>
        <v>397.22288294627594</v>
      </c>
      <c r="I247" s="145">
        <f>-Without_57_60_with_78_81_AMI_value</f>
        <v>391.14433100420376</v>
      </c>
      <c r="J247" s="145">
        <f>-Without_60_63_with_78_81_AMI_value</f>
        <v>374.0926918728436</v>
      </c>
      <c r="K247" s="145">
        <f>-Without_63_66_with_78_81_AMI_value</f>
        <v>345.64648076675394</v>
      </c>
      <c r="L247" s="145">
        <f>-Without_66_69_with_78_81_AMI_value</f>
        <v>304.85028333124728</v>
      </c>
      <c r="M247" s="145">
        <f>-Without_69_72_with_78_81_AMI_value</f>
        <v>250.74868521163444</v>
      </c>
      <c r="N247" s="145">
        <f>-Without_72_75_with_78_81_AMI_value</f>
        <v>182.38627205322649</v>
      </c>
      <c r="O247" s="145">
        <f>-Without_75_78_with_78_81_AMI_value</f>
        <v>98.807629501335981</v>
      </c>
      <c r="P247" s="145">
        <v>0</v>
      </c>
      <c r="Q247" s="145">
        <f>-(HLOOKUP(Noise_3dB_bands,AMI_values_3dB_table,2,0))</f>
        <v>-102.48979240414232</v>
      </c>
      <c r="R247" s="26" t="s">
        <v>163</v>
      </c>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28"/>
    </row>
    <row r="248" spans="1:96" s="8" customFormat="1" ht="15" hidden="1" customHeight="1" outlineLevel="1" x14ac:dyDescent="0.25">
      <c r="A248" s="89"/>
      <c r="B248" s="135" t="s">
        <v>29</v>
      </c>
      <c r="C248" s="153"/>
      <c r="D248" s="145">
        <f>-Without_45_with_81_AMI_value</f>
        <v>499.71267535041829</v>
      </c>
      <c r="E248" s="145">
        <f>-Without_45_48_with_81_AMI_value</f>
        <v>499.71267535041829</v>
      </c>
      <c r="F248" s="145">
        <f>-Without_48_51_with_81_AMI_value</f>
        <v>499.71267535041829</v>
      </c>
      <c r="G248" s="145">
        <f>-Without_51_54_with_81_AMI_value</f>
        <v>499.71267535041829</v>
      </c>
      <c r="H248" s="145">
        <f>-Without_54_57_with_81_AMI_value</f>
        <v>499.71267535041829</v>
      </c>
      <c r="I248" s="145">
        <f>-Without_57_60_with_81_AMI_value</f>
        <v>493.63412340834611</v>
      </c>
      <c r="J248" s="145">
        <f>-Without_60_63_with_81_AMI_value</f>
        <v>476.58248427698595</v>
      </c>
      <c r="K248" s="145">
        <f>-Without_63_66_with_81_AMI_value</f>
        <v>448.13627317089629</v>
      </c>
      <c r="L248" s="145">
        <f>-Without_66_69_with_81_AMI_value</f>
        <v>407.34007573538963</v>
      </c>
      <c r="M248" s="145">
        <f>-Without_69_72_with_81_AMI_value</f>
        <v>353.23847761577679</v>
      </c>
      <c r="N248" s="145">
        <f>-Without_72_75_with_81_AMI_value</f>
        <v>284.87606445736878</v>
      </c>
      <c r="O248" s="145">
        <f>-Without_75_78_with_81_AMI_value</f>
        <v>201.2974219054783</v>
      </c>
      <c r="P248" s="145">
        <f>-Without_78_81_with_81_AMI_value</f>
        <v>102.48979240414232</v>
      </c>
      <c r="Q248" s="145">
        <v>0</v>
      </c>
      <c r="R248" s="26" t="s">
        <v>164</v>
      </c>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28"/>
    </row>
    <row r="249" spans="1:96" ht="15" hidden="1" outlineLevel="1" x14ac:dyDescent="0.25">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row>
    <row r="250" spans="1:96" s="5" customFormat="1" ht="15.75" hidden="1" outlineLevel="1" x14ac:dyDescent="0.25">
      <c r="B250" s="5" t="s">
        <v>68</v>
      </c>
    </row>
    <row r="251" spans="1:96" ht="15" hidden="1" customHeight="1" outlineLevel="1" x14ac:dyDescent="0.25">
      <c r="A251" s="131"/>
      <c r="B251" s="131"/>
      <c r="C251" s="149"/>
      <c r="D251" s="3"/>
      <c r="E251" s="3"/>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row>
    <row r="252" spans="1:96" ht="15" hidden="1" customHeight="1" outlineLevel="2" x14ac:dyDescent="0.25">
      <c r="A252" s="131"/>
      <c r="B252" s="191" t="s">
        <v>63</v>
      </c>
      <c r="C252" s="131"/>
      <c r="D252" s="17" t="s">
        <v>64</v>
      </c>
      <c r="E252" s="18">
        <v>45</v>
      </c>
      <c r="F252" s="19">
        <v>46</v>
      </c>
      <c r="G252" s="18">
        <v>47</v>
      </c>
      <c r="H252" s="19">
        <v>48</v>
      </c>
      <c r="I252" s="18">
        <v>49</v>
      </c>
      <c r="J252" s="19">
        <v>50</v>
      </c>
      <c r="K252" s="18">
        <v>51</v>
      </c>
      <c r="L252" s="19">
        <v>52</v>
      </c>
      <c r="M252" s="18">
        <v>53</v>
      </c>
      <c r="N252" s="19">
        <v>54</v>
      </c>
      <c r="O252" s="18">
        <v>55</v>
      </c>
      <c r="P252" s="19">
        <v>56</v>
      </c>
      <c r="Q252" s="18">
        <v>57</v>
      </c>
      <c r="R252" s="19">
        <v>58</v>
      </c>
      <c r="S252" s="18">
        <v>59</v>
      </c>
      <c r="T252" s="19">
        <v>60</v>
      </c>
      <c r="U252" s="18">
        <v>61</v>
      </c>
      <c r="V252" s="19">
        <v>62</v>
      </c>
      <c r="W252" s="18">
        <v>63</v>
      </c>
      <c r="X252" s="19">
        <v>64</v>
      </c>
      <c r="Y252" s="18">
        <v>65</v>
      </c>
      <c r="Z252" s="19">
        <v>66</v>
      </c>
      <c r="AA252" s="18">
        <v>67</v>
      </c>
      <c r="AB252" s="19">
        <v>68</v>
      </c>
      <c r="AC252" s="18">
        <v>69</v>
      </c>
      <c r="AD252" s="19">
        <v>70</v>
      </c>
      <c r="AE252" s="18">
        <v>71</v>
      </c>
      <c r="AF252" s="19">
        <v>72</v>
      </c>
      <c r="AG252" s="18">
        <v>73</v>
      </c>
      <c r="AH252" s="19">
        <v>74</v>
      </c>
      <c r="AI252" s="18">
        <v>75</v>
      </c>
      <c r="AJ252" s="19">
        <v>76</v>
      </c>
      <c r="AK252" s="18">
        <v>77</v>
      </c>
      <c r="AL252" s="19">
        <v>78</v>
      </c>
      <c r="AM252" s="18">
        <v>79</v>
      </c>
      <c r="AN252" s="19">
        <v>80</v>
      </c>
      <c r="AO252" s="18">
        <v>81</v>
      </c>
      <c r="AP252" s="19">
        <v>82</v>
      </c>
      <c r="AQ252" s="18">
        <v>83</v>
      </c>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row>
    <row r="253" spans="1:96" ht="15" hidden="1" customHeight="1" outlineLevel="2" x14ac:dyDescent="0.25">
      <c r="A253" s="131"/>
      <c r="B253" s="191"/>
      <c r="C253" s="147" t="s">
        <v>486</v>
      </c>
      <c r="D253" s="17">
        <v>45</v>
      </c>
      <c r="E253" s="18">
        <v>46</v>
      </c>
      <c r="F253" s="17">
        <v>47</v>
      </c>
      <c r="G253" s="18">
        <v>48</v>
      </c>
      <c r="H253" s="17">
        <v>49</v>
      </c>
      <c r="I253" s="18">
        <v>50</v>
      </c>
      <c r="J253" s="17">
        <v>51</v>
      </c>
      <c r="K253" s="18">
        <v>52</v>
      </c>
      <c r="L253" s="17">
        <v>53</v>
      </c>
      <c r="M253" s="18">
        <v>54</v>
      </c>
      <c r="N253" s="17">
        <v>55</v>
      </c>
      <c r="O253" s="18">
        <v>56</v>
      </c>
      <c r="P253" s="17">
        <v>57</v>
      </c>
      <c r="Q253" s="18">
        <v>58</v>
      </c>
      <c r="R253" s="17">
        <v>59</v>
      </c>
      <c r="S253" s="18">
        <v>60</v>
      </c>
      <c r="T253" s="17">
        <v>61</v>
      </c>
      <c r="U253" s="18">
        <v>62</v>
      </c>
      <c r="V253" s="17">
        <v>63</v>
      </c>
      <c r="W253" s="18">
        <v>64</v>
      </c>
      <c r="X253" s="17">
        <v>65</v>
      </c>
      <c r="Y253" s="18">
        <v>66</v>
      </c>
      <c r="Z253" s="17">
        <v>67</v>
      </c>
      <c r="AA253" s="18">
        <v>68</v>
      </c>
      <c r="AB253" s="17">
        <v>69</v>
      </c>
      <c r="AC253" s="18">
        <v>70</v>
      </c>
      <c r="AD253" s="17">
        <v>71</v>
      </c>
      <c r="AE253" s="18">
        <v>72</v>
      </c>
      <c r="AF253" s="17">
        <v>73</v>
      </c>
      <c r="AG253" s="18">
        <v>74</v>
      </c>
      <c r="AH253" s="17">
        <v>75</v>
      </c>
      <c r="AI253" s="18">
        <v>76</v>
      </c>
      <c r="AJ253" s="17">
        <v>77</v>
      </c>
      <c r="AK253" s="18">
        <v>78</v>
      </c>
      <c r="AL253" s="17">
        <v>79</v>
      </c>
      <c r="AM253" s="18">
        <v>80</v>
      </c>
      <c r="AN253" s="17">
        <v>81</v>
      </c>
      <c r="AO253" s="18">
        <v>82</v>
      </c>
      <c r="AP253" s="17">
        <v>83</v>
      </c>
      <c r="AQ253" s="18">
        <v>84</v>
      </c>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row>
    <row r="254" spans="1:96" ht="15" hidden="1" customHeight="1" outlineLevel="2" x14ac:dyDescent="0.25">
      <c r="A254" s="131"/>
      <c r="B254" s="131" t="s">
        <v>594</v>
      </c>
      <c r="C254" s="131">
        <f>Road_mask</f>
        <v>1</v>
      </c>
      <c r="D254" s="148">
        <f t="shared" ref="D254:AQ254" si="14">Stroke_values_road_1dB_in</f>
        <v>0</v>
      </c>
      <c r="E254" s="148">
        <f t="shared" si="14"/>
        <v>0</v>
      </c>
      <c r="F254" s="148">
        <f t="shared" si="14"/>
        <v>0</v>
      </c>
      <c r="G254" s="148">
        <f t="shared" si="14"/>
        <v>2.3257421321462388</v>
      </c>
      <c r="H254" s="148">
        <f t="shared" si="14"/>
        <v>2.3315782167898909</v>
      </c>
      <c r="I254" s="148">
        <f t="shared" si="14"/>
        <v>2.3374308592902375</v>
      </c>
      <c r="J254" s="148">
        <f t="shared" si="14"/>
        <v>2.3433001129605553</v>
      </c>
      <c r="K254" s="148">
        <f t="shared" si="14"/>
        <v>2.3491860313062767</v>
      </c>
      <c r="L254" s="148">
        <f t="shared" si="14"/>
        <v>2.3550886680258589</v>
      </c>
      <c r="M254" s="148">
        <f t="shared" si="14"/>
        <v>2.3610080770116246</v>
      </c>
      <c r="N254" s="148">
        <f t="shared" si="14"/>
        <v>2.3669443123503542</v>
      </c>
      <c r="O254" s="148">
        <f t="shared" si="14"/>
        <v>2.3728974283241939</v>
      </c>
      <c r="P254" s="148">
        <f t="shared" si="14"/>
        <v>2.3788674794115026</v>
      </c>
      <c r="Q254" s="148">
        <f t="shared" si="14"/>
        <v>2.3848545202872842</v>
      </c>
      <c r="R254" s="148">
        <f t="shared" si="14"/>
        <v>2.3908586058243859</v>
      </c>
      <c r="S254" s="148">
        <f t="shared" si="14"/>
        <v>2.3968797910940274</v>
      </c>
      <c r="T254" s="148">
        <f t="shared" si="14"/>
        <v>2.4029181313666008</v>
      </c>
      <c r="U254" s="148">
        <f t="shared" si="14"/>
        <v>2.4089736821126051</v>
      </c>
      <c r="V254" s="148">
        <f t="shared" si="14"/>
        <v>2.4150464990031679</v>
      </c>
      <c r="W254" s="148">
        <f t="shared" si="14"/>
        <v>2.4211366379111423</v>
      </c>
      <c r="X254" s="148">
        <f t="shared" si="14"/>
        <v>2.4272441549118775</v>
      </c>
      <c r="Y254" s="148">
        <f t="shared" si="14"/>
        <v>2.4333691062835414</v>
      </c>
      <c r="Z254" s="148">
        <f t="shared" si="14"/>
        <v>2.4395115485087397</v>
      </c>
      <c r="AA254" s="148">
        <f t="shared" si="14"/>
        <v>2.445671538274365</v>
      </c>
      <c r="AB254" s="148">
        <f t="shared" si="14"/>
        <v>2.4518491324735359</v>
      </c>
      <c r="AC254" s="148">
        <f t="shared" si="14"/>
        <v>2.4580443882053387</v>
      </c>
      <c r="AD254" s="148">
        <f t="shared" si="14"/>
        <v>2.4642573627761641</v>
      </c>
      <c r="AE254" s="148">
        <f t="shared" si="14"/>
        <v>2.4704881137006183</v>
      </c>
      <c r="AF254" s="148">
        <f t="shared" si="14"/>
        <v>2.4767366987021457</v>
      </c>
      <c r="AG254" s="148">
        <f t="shared" si="14"/>
        <v>2.4830031757138524</v>
      </c>
      <c r="AH254" s="148">
        <f t="shared" si="14"/>
        <v>2.4892876028795201</v>
      </c>
      <c r="AI254" s="148">
        <f t="shared" si="14"/>
        <v>2.4955900385539564</v>
      </c>
      <c r="AJ254" s="148">
        <f t="shared" si="14"/>
        <v>2.4955900385539564</v>
      </c>
      <c r="AK254" s="148">
        <f t="shared" si="14"/>
        <v>2.4955900385539564</v>
      </c>
      <c r="AL254" s="148">
        <f t="shared" si="14"/>
        <v>2.4955900385539564</v>
      </c>
      <c r="AM254" s="148">
        <f t="shared" si="14"/>
        <v>2.4955900385539564</v>
      </c>
      <c r="AN254" s="148">
        <f t="shared" si="14"/>
        <v>2.4955900385539564</v>
      </c>
      <c r="AO254" s="148">
        <f t="shared" si="14"/>
        <v>2.4955900385539564</v>
      </c>
      <c r="AP254" s="148">
        <f t="shared" si="14"/>
        <v>2.49559003855396</v>
      </c>
      <c r="AQ254" s="148">
        <f t="shared" si="14"/>
        <v>2.49559003855396</v>
      </c>
      <c r="AR254" s="3" t="s">
        <v>606</v>
      </c>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c r="BR254" s="131"/>
      <c r="BS254" s="131"/>
      <c r="BT254" s="131"/>
      <c r="BU254" s="131"/>
      <c r="BV254" s="131"/>
      <c r="BW254" s="131"/>
      <c r="BX254" s="131"/>
      <c r="BY254" s="131"/>
      <c r="BZ254" s="131"/>
      <c r="CA254" s="131"/>
      <c r="CB254" s="131"/>
      <c r="CC254" s="131"/>
      <c r="CD254" s="131"/>
      <c r="CE254" s="131"/>
      <c r="CF254" s="131"/>
      <c r="CG254" s="131"/>
      <c r="CH254" s="131"/>
      <c r="CI254" s="131"/>
      <c r="CJ254" s="131"/>
      <c r="CK254" s="131"/>
      <c r="CL254" s="131"/>
      <c r="CM254" s="131"/>
      <c r="CN254" s="131"/>
      <c r="CO254" s="131"/>
      <c r="CP254" s="131"/>
      <c r="CQ254" s="131"/>
    </row>
    <row r="255" spans="1:96" ht="15" hidden="1" customHeight="1" outlineLevel="2" x14ac:dyDescent="0.25">
      <c r="A255" s="131"/>
      <c r="B255" s="131" t="s">
        <v>596</v>
      </c>
      <c r="C255" s="149">
        <f>Rail_mask</f>
        <v>0</v>
      </c>
      <c r="D255" s="148">
        <f t="shared" ref="D255:AQ255" si="15">Stroke_values_rail_1dB_in</f>
        <v>0</v>
      </c>
      <c r="E255" s="148">
        <f t="shared" si="15"/>
        <v>0</v>
      </c>
      <c r="F255" s="148">
        <f t="shared" si="15"/>
        <v>0</v>
      </c>
      <c r="G255" s="148">
        <f t="shared" si="15"/>
        <v>0</v>
      </c>
      <c r="H255" s="148">
        <f t="shared" si="15"/>
        <v>0</v>
      </c>
      <c r="I255" s="148">
        <f t="shared" si="15"/>
        <v>0</v>
      </c>
      <c r="J255" s="148">
        <f t="shared" si="15"/>
        <v>2.5337719562976919</v>
      </c>
      <c r="K255" s="148">
        <f t="shared" si="15"/>
        <v>2.540685853146063</v>
      </c>
      <c r="L255" s="148">
        <f t="shared" si="15"/>
        <v>2.5476210822537664</v>
      </c>
      <c r="M255" s="148">
        <f t="shared" si="15"/>
        <v>2.5545777183196918</v>
      </c>
      <c r="N255" s="148">
        <f t="shared" si="15"/>
        <v>2.5615558363359354</v>
      </c>
      <c r="O255" s="148">
        <f t="shared" si="15"/>
        <v>2.5685555115886678</v>
      </c>
      <c r="P255" s="148">
        <f t="shared" si="15"/>
        <v>2.575576819659787</v>
      </c>
      <c r="Q255" s="148">
        <f t="shared" si="15"/>
        <v>2.5826198364273898</v>
      </c>
      <c r="R255" s="148">
        <f t="shared" si="15"/>
        <v>2.5896846380684999</v>
      </c>
      <c r="S255" s="148">
        <f t="shared" si="15"/>
        <v>2.5967713010586762</v>
      </c>
      <c r="T255" s="148">
        <f t="shared" si="15"/>
        <v>2.6038799021745915</v>
      </c>
      <c r="U255" s="148">
        <f t="shared" si="15"/>
        <v>2.6110105184944179</v>
      </c>
      <c r="V255" s="148">
        <f t="shared" si="15"/>
        <v>2.61816322739993</v>
      </c>
      <c r="W255" s="148">
        <f t="shared" si="15"/>
        <v>2.6253381065770354</v>
      </c>
      <c r="X255" s="148">
        <f t="shared" si="15"/>
        <v>2.6325352340177806</v>
      </c>
      <c r="Y255" s="148">
        <f t="shared" si="15"/>
        <v>2.6397546880211262</v>
      </c>
      <c r="Z255" s="148">
        <f t="shared" si="15"/>
        <v>2.6469965471945236</v>
      </c>
      <c r="AA255" s="148">
        <f t="shared" si="15"/>
        <v>2.6542608904551317</v>
      </c>
      <c r="AB255" s="148">
        <f t="shared" si="15"/>
        <v>2.6615477970315817</v>
      </c>
      <c r="AC255" s="148">
        <f t="shared" si="15"/>
        <v>2.6688573464643794</v>
      </c>
      <c r="AD255" s="148">
        <f t="shared" si="15"/>
        <v>2.6761896186082459</v>
      </c>
      <c r="AE255" s="148">
        <f t="shared" si="15"/>
        <v>2.6835446936329617</v>
      </c>
      <c r="AF255" s="148">
        <f t="shared" si="15"/>
        <v>2.6909226520246752</v>
      </c>
      <c r="AG255" s="148">
        <f t="shared" si="15"/>
        <v>2.6983235745876519</v>
      </c>
      <c r="AH255" s="148">
        <f t="shared" si="15"/>
        <v>2.705747542445073</v>
      </c>
      <c r="AI255" s="148">
        <f t="shared" si="15"/>
        <v>2.7131946370411497</v>
      </c>
      <c r="AJ255" s="148">
        <f t="shared" si="15"/>
        <v>2.7131946370411497</v>
      </c>
      <c r="AK255" s="148">
        <f t="shared" si="15"/>
        <v>2.7131946370411497</v>
      </c>
      <c r="AL255" s="148">
        <f t="shared" si="15"/>
        <v>2.7131946370411497</v>
      </c>
      <c r="AM255" s="148">
        <f t="shared" si="15"/>
        <v>2.7131946370411497</v>
      </c>
      <c r="AN255" s="148">
        <f t="shared" si="15"/>
        <v>2.7131946370411497</v>
      </c>
      <c r="AO255" s="148">
        <f t="shared" si="15"/>
        <v>2.7131946370411497</v>
      </c>
      <c r="AP255" s="148">
        <f t="shared" si="15"/>
        <v>2.7131946370411502</v>
      </c>
      <c r="AQ255" s="148">
        <f t="shared" si="15"/>
        <v>2.7131946370411502</v>
      </c>
      <c r="AR255" s="3" t="s">
        <v>607</v>
      </c>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c r="BZ255" s="131"/>
      <c r="CA255" s="131"/>
      <c r="CB255" s="131"/>
      <c r="CC255" s="131"/>
      <c r="CD255" s="131"/>
      <c r="CE255" s="131"/>
      <c r="CF255" s="131"/>
      <c r="CG255" s="131"/>
      <c r="CH255" s="131"/>
      <c r="CI255" s="131"/>
      <c r="CJ255" s="131"/>
      <c r="CK255" s="131"/>
      <c r="CL255" s="131"/>
      <c r="CM255" s="131"/>
      <c r="CN255" s="131"/>
      <c r="CO255" s="131"/>
      <c r="CP255" s="131"/>
      <c r="CQ255" s="131"/>
    </row>
    <row r="256" spans="1:96" ht="15" hidden="1" customHeight="1" outlineLevel="2" x14ac:dyDescent="0.25">
      <c r="A256" s="131"/>
      <c r="B256" s="131" t="s">
        <v>598</v>
      </c>
      <c r="C256" s="149">
        <f>Aviation_mask</f>
        <v>0</v>
      </c>
      <c r="D256" s="148">
        <f t="shared" ref="D256:AQ256" si="16">Stroke_values_aviation_1dB_in</f>
        <v>0</v>
      </c>
      <c r="E256" s="148">
        <f t="shared" si="16"/>
        <v>0</v>
      </c>
      <c r="F256" s="148">
        <f t="shared" si="16"/>
        <v>0</v>
      </c>
      <c r="G256" s="148">
        <f t="shared" si="16"/>
        <v>0</v>
      </c>
      <c r="H256" s="148">
        <f t="shared" si="16"/>
        <v>0</v>
      </c>
      <c r="I256" s="148">
        <f t="shared" si="16"/>
        <v>0</v>
      </c>
      <c r="J256" s="148">
        <f t="shared" si="16"/>
        <v>4.5173914499006251</v>
      </c>
      <c r="K256" s="148">
        <f t="shared" si="16"/>
        <v>4.5393967747816788</v>
      </c>
      <c r="L256" s="148">
        <f t="shared" si="16"/>
        <v>4.5615237900197787</v>
      </c>
      <c r="M256" s="148">
        <f t="shared" si="16"/>
        <v>4.5837732622207543</v>
      </c>
      <c r="N256" s="148">
        <f t="shared" si="16"/>
        <v>4.6061459634128763</v>
      </c>
      <c r="O256" s="148">
        <f t="shared" si="16"/>
        <v>4.6286426710893327</v>
      </c>
      <c r="P256" s="148">
        <f t="shared" si="16"/>
        <v>4.6512641682497513</v>
      </c>
      <c r="Q256" s="148">
        <f t="shared" si="16"/>
        <v>4.6740112434435579</v>
      </c>
      <c r="R256" s="148">
        <f t="shared" si="16"/>
        <v>4.6968846908128015</v>
      </c>
      <c r="S256" s="148">
        <f t="shared" si="16"/>
        <v>4.7198853101356439</v>
      </c>
      <c r="T256" s="148">
        <f t="shared" si="16"/>
        <v>4.7430139068697263</v>
      </c>
      <c r="U256" s="148">
        <f t="shared" si="16"/>
        <v>4.7662712921968833</v>
      </c>
      <c r="V256" s="148">
        <f t="shared" si="16"/>
        <v>4.7896582830670553</v>
      </c>
      <c r="W256" s="148">
        <f t="shared" si="16"/>
        <v>4.8131757022436954</v>
      </c>
      <c r="X256" s="148">
        <f t="shared" si="16"/>
        <v>4.8368243783482825</v>
      </c>
      <c r="Y256" s="148">
        <f t="shared" si="16"/>
        <v>4.8606051459067592</v>
      </c>
      <c r="Z256" s="148">
        <f t="shared" si="16"/>
        <v>4.8845188453947683</v>
      </c>
      <c r="AA256" s="148">
        <f t="shared" si="16"/>
        <v>4.9085663232844663</v>
      </c>
      <c r="AB256" s="148">
        <f t="shared" si="16"/>
        <v>4.9327484320909196</v>
      </c>
      <c r="AC256" s="148">
        <f t="shared" si="16"/>
        <v>4.9570660304198739</v>
      </c>
      <c r="AD256" s="148">
        <f t="shared" si="16"/>
        <v>4.981519983014091</v>
      </c>
      <c r="AE256" s="148">
        <f t="shared" si="16"/>
        <v>5.0061111608026287</v>
      </c>
      <c r="AF256" s="148">
        <f t="shared" si="16"/>
        <v>5.0308404409483183</v>
      </c>
      <c r="AG256" s="148">
        <f t="shared" si="16"/>
        <v>5.0557087068964508</v>
      </c>
      <c r="AH256" s="148">
        <f t="shared" si="16"/>
        <v>5.0807168484245775</v>
      </c>
      <c r="AI256" s="148">
        <f t="shared" si="16"/>
        <v>5.1058657616909677</v>
      </c>
      <c r="AJ256" s="148">
        <f t="shared" si="16"/>
        <v>5.1058657616909677</v>
      </c>
      <c r="AK256" s="148">
        <f t="shared" si="16"/>
        <v>5.1058657616909677</v>
      </c>
      <c r="AL256" s="148">
        <f t="shared" si="16"/>
        <v>5.1058657616909677</v>
      </c>
      <c r="AM256" s="148">
        <f t="shared" si="16"/>
        <v>5.1058657616909677</v>
      </c>
      <c r="AN256" s="148">
        <f t="shared" si="16"/>
        <v>5.1058657616909677</v>
      </c>
      <c r="AO256" s="148">
        <f t="shared" si="16"/>
        <v>5.1058657616909677</v>
      </c>
      <c r="AP256" s="148">
        <f t="shared" si="16"/>
        <v>5.1058657616909704</v>
      </c>
      <c r="AQ256" s="148">
        <f t="shared" si="16"/>
        <v>5.1058657616909704</v>
      </c>
      <c r="AR256" s="3" t="s">
        <v>608</v>
      </c>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c r="CM256" s="131"/>
      <c r="CN256" s="131"/>
      <c r="CO256" s="131"/>
      <c r="CP256" s="131"/>
      <c r="CQ256" s="131"/>
    </row>
    <row r="257" spans="1:95" s="7" customFormat="1" ht="15" hidden="1" customHeight="1" outlineLevel="2" x14ac:dyDescent="0.25">
      <c r="A257" s="131"/>
      <c r="B257" s="131"/>
      <c r="C257" s="149"/>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4"/>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row>
    <row r="258" spans="1:95" ht="15" hidden="1" customHeight="1" outlineLevel="2" x14ac:dyDescent="0.25">
      <c r="A258" s="131"/>
      <c r="B258" s="191" t="s">
        <v>63</v>
      </c>
      <c r="C258" s="131"/>
      <c r="D258" s="17" t="s">
        <v>64</v>
      </c>
      <c r="E258" s="18">
        <v>45</v>
      </c>
      <c r="F258" s="19">
        <v>46</v>
      </c>
      <c r="G258" s="18">
        <v>47</v>
      </c>
      <c r="H258" s="19">
        <v>48</v>
      </c>
      <c r="I258" s="18">
        <v>49</v>
      </c>
      <c r="J258" s="19">
        <v>50</v>
      </c>
      <c r="K258" s="18">
        <v>51</v>
      </c>
      <c r="L258" s="19">
        <v>52</v>
      </c>
      <c r="M258" s="18">
        <v>53</v>
      </c>
      <c r="N258" s="19">
        <v>54</v>
      </c>
      <c r="O258" s="18">
        <v>55</v>
      </c>
      <c r="P258" s="19">
        <v>56</v>
      </c>
      <c r="Q258" s="18">
        <v>57</v>
      </c>
      <c r="R258" s="19">
        <v>58</v>
      </c>
      <c r="S258" s="18">
        <v>59</v>
      </c>
      <c r="T258" s="19">
        <v>60</v>
      </c>
      <c r="U258" s="18">
        <v>61</v>
      </c>
      <c r="V258" s="19">
        <v>62</v>
      </c>
      <c r="W258" s="18">
        <v>63</v>
      </c>
      <c r="X258" s="19">
        <v>64</v>
      </c>
      <c r="Y258" s="18">
        <v>65</v>
      </c>
      <c r="Z258" s="19">
        <v>66</v>
      </c>
      <c r="AA258" s="18">
        <v>67</v>
      </c>
      <c r="AB258" s="19">
        <v>68</v>
      </c>
      <c r="AC258" s="18">
        <v>69</v>
      </c>
      <c r="AD258" s="19">
        <v>70</v>
      </c>
      <c r="AE258" s="18">
        <v>71</v>
      </c>
      <c r="AF258" s="19">
        <v>72</v>
      </c>
      <c r="AG258" s="18">
        <v>73</v>
      </c>
      <c r="AH258" s="19">
        <v>74</v>
      </c>
      <c r="AI258" s="18">
        <v>75</v>
      </c>
      <c r="AJ258" s="19">
        <v>76</v>
      </c>
      <c r="AK258" s="18">
        <v>77</v>
      </c>
      <c r="AL258" s="19">
        <v>78</v>
      </c>
      <c r="AM258" s="18">
        <v>79</v>
      </c>
      <c r="AN258" s="19">
        <v>80</v>
      </c>
      <c r="AO258" s="18">
        <v>81</v>
      </c>
      <c r="AP258" s="19">
        <v>82</v>
      </c>
      <c r="AQ258" s="18">
        <v>83</v>
      </c>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c r="CM258" s="131"/>
      <c r="CN258" s="131"/>
      <c r="CO258" s="131"/>
      <c r="CP258" s="131"/>
      <c r="CQ258" s="131"/>
    </row>
    <row r="259" spans="1:95" ht="15" hidden="1" customHeight="1" outlineLevel="2" x14ac:dyDescent="0.25">
      <c r="A259" s="131"/>
      <c r="B259" s="191"/>
      <c r="C259" s="131"/>
      <c r="D259" s="17">
        <v>45</v>
      </c>
      <c r="E259" s="18">
        <v>46</v>
      </c>
      <c r="F259" s="17">
        <v>47</v>
      </c>
      <c r="G259" s="18">
        <v>48</v>
      </c>
      <c r="H259" s="17">
        <v>49</v>
      </c>
      <c r="I259" s="18">
        <v>50</v>
      </c>
      <c r="J259" s="17">
        <v>51</v>
      </c>
      <c r="K259" s="18">
        <v>52</v>
      </c>
      <c r="L259" s="17">
        <v>53</v>
      </c>
      <c r="M259" s="18">
        <v>54</v>
      </c>
      <c r="N259" s="17">
        <v>55</v>
      </c>
      <c r="O259" s="18">
        <v>56</v>
      </c>
      <c r="P259" s="17">
        <v>57</v>
      </c>
      <c r="Q259" s="18">
        <v>58</v>
      </c>
      <c r="R259" s="17">
        <v>59</v>
      </c>
      <c r="S259" s="18">
        <v>60</v>
      </c>
      <c r="T259" s="17">
        <v>61</v>
      </c>
      <c r="U259" s="18">
        <v>62</v>
      </c>
      <c r="V259" s="17">
        <v>63</v>
      </c>
      <c r="W259" s="18">
        <v>64</v>
      </c>
      <c r="X259" s="17">
        <v>65</v>
      </c>
      <c r="Y259" s="18">
        <v>66</v>
      </c>
      <c r="Z259" s="17">
        <v>67</v>
      </c>
      <c r="AA259" s="18">
        <v>68</v>
      </c>
      <c r="AB259" s="17">
        <v>69</v>
      </c>
      <c r="AC259" s="18">
        <v>70</v>
      </c>
      <c r="AD259" s="17">
        <v>71</v>
      </c>
      <c r="AE259" s="18">
        <v>72</v>
      </c>
      <c r="AF259" s="17">
        <v>73</v>
      </c>
      <c r="AG259" s="18">
        <v>74</v>
      </c>
      <c r="AH259" s="17">
        <v>75</v>
      </c>
      <c r="AI259" s="18">
        <v>76</v>
      </c>
      <c r="AJ259" s="17">
        <v>77</v>
      </c>
      <c r="AK259" s="18">
        <v>78</v>
      </c>
      <c r="AL259" s="17">
        <v>79</v>
      </c>
      <c r="AM259" s="18">
        <v>80</v>
      </c>
      <c r="AN259" s="17">
        <v>81</v>
      </c>
      <c r="AO259" s="18">
        <v>82</v>
      </c>
      <c r="AP259" s="17">
        <v>83</v>
      </c>
      <c r="AQ259" s="18">
        <v>84</v>
      </c>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c r="CM259" s="131"/>
      <c r="CN259" s="131"/>
      <c r="CO259" s="131"/>
      <c r="CP259" s="131"/>
      <c r="CQ259" s="131"/>
    </row>
    <row r="260" spans="1:95" ht="15" hidden="1" customHeight="1" outlineLevel="2" x14ac:dyDescent="0.25">
      <c r="A260" s="131"/>
      <c r="B260" s="131" t="s">
        <v>98</v>
      </c>
      <c r="C260" s="131"/>
      <c r="D260" s="148">
        <f t="shared" ref="D260:AQ260" si="17">Stroke_values_road_1dB*Road_mask +Stroke_values_rail_1dB*Rail_mask +Stroke_values_aviation_1dB*Aviation_mask</f>
        <v>0</v>
      </c>
      <c r="E260" s="148">
        <f t="shared" si="17"/>
        <v>0</v>
      </c>
      <c r="F260" s="148">
        <f t="shared" si="17"/>
        <v>0</v>
      </c>
      <c r="G260" s="148">
        <f>Stroke_values_road_1dB*Road_mask +Stroke_values_rail_1dB*Rail_mask +Stroke_values_aviation_1dB*Aviation_mask</f>
        <v>2.3257421321462388</v>
      </c>
      <c r="H260" s="148">
        <f t="shared" si="17"/>
        <v>2.3315782167898909</v>
      </c>
      <c r="I260" s="148">
        <f t="shared" si="17"/>
        <v>2.3374308592902375</v>
      </c>
      <c r="J260" s="148">
        <f t="shared" si="17"/>
        <v>2.3433001129605553</v>
      </c>
      <c r="K260" s="148">
        <f t="shared" si="17"/>
        <v>2.3491860313062767</v>
      </c>
      <c r="L260" s="148">
        <f t="shared" si="17"/>
        <v>2.3550886680258589</v>
      </c>
      <c r="M260" s="148">
        <f t="shared" si="17"/>
        <v>2.3610080770116246</v>
      </c>
      <c r="N260" s="148">
        <f t="shared" si="17"/>
        <v>2.3669443123503542</v>
      </c>
      <c r="O260" s="148">
        <f t="shared" si="17"/>
        <v>2.3728974283241939</v>
      </c>
      <c r="P260" s="148">
        <f t="shared" si="17"/>
        <v>2.3788674794115026</v>
      </c>
      <c r="Q260" s="148">
        <f t="shared" si="17"/>
        <v>2.3848545202872842</v>
      </c>
      <c r="R260" s="148">
        <f t="shared" si="17"/>
        <v>2.3908586058243859</v>
      </c>
      <c r="S260" s="148">
        <f t="shared" si="17"/>
        <v>2.3968797910940274</v>
      </c>
      <c r="T260" s="148">
        <f t="shared" si="17"/>
        <v>2.4029181313666008</v>
      </c>
      <c r="U260" s="148">
        <f t="shared" si="17"/>
        <v>2.4089736821126051</v>
      </c>
      <c r="V260" s="148">
        <f t="shared" si="17"/>
        <v>2.4150464990031679</v>
      </c>
      <c r="W260" s="148">
        <f t="shared" si="17"/>
        <v>2.4211366379111423</v>
      </c>
      <c r="X260" s="148">
        <f t="shared" si="17"/>
        <v>2.4272441549118775</v>
      </c>
      <c r="Y260" s="148">
        <f t="shared" si="17"/>
        <v>2.4333691062835414</v>
      </c>
      <c r="Z260" s="148">
        <f t="shared" si="17"/>
        <v>2.4395115485087397</v>
      </c>
      <c r="AA260" s="148">
        <f t="shared" si="17"/>
        <v>2.445671538274365</v>
      </c>
      <c r="AB260" s="148">
        <f t="shared" si="17"/>
        <v>2.4518491324735359</v>
      </c>
      <c r="AC260" s="148">
        <f t="shared" si="17"/>
        <v>2.4580443882053387</v>
      </c>
      <c r="AD260" s="148">
        <f t="shared" si="17"/>
        <v>2.4642573627761641</v>
      </c>
      <c r="AE260" s="148">
        <f t="shared" si="17"/>
        <v>2.4704881137006183</v>
      </c>
      <c r="AF260" s="148">
        <f t="shared" si="17"/>
        <v>2.4767366987021457</v>
      </c>
      <c r="AG260" s="148">
        <f t="shared" si="17"/>
        <v>2.4830031757138524</v>
      </c>
      <c r="AH260" s="148">
        <f t="shared" si="17"/>
        <v>2.4892876028795201</v>
      </c>
      <c r="AI260" s="148">
        <f t="shared" si="17"/>
        <v>2.4955900385539564</v>
      </c>
      <c r="AJ260" s="148">
        <f t="shared" si="17"/>
        <v>2.4955900385539564</v>
      </c>
      <c r="AK260" s="148">
        <f t="shared" si="17"/>
        <v>2.4955900385539564</v>
      </c>
      <c r="AL260" s="148">
        <f t="shared" si="17"/>
        <v>2.4955900385539564</v>
      </c>
      <c r="AM260" s="148">
        <f t="shared" si="17"/>
        <v>2.4955900385539564</v>
      </c>
      <c r="AN260" s="148">
        <f t="shared" si="17"/>
        <v>2.4955900385539564</v>
      </c>
      <c r="AO260" s="148">
        <f t="shared" si="17"/>
        <v>2.4955900385539564</v>
      </c>
      <c r="AP260" s="148">
        <f t="shared" si="17"/>
        <v>2.49559003855396</v>
      </c>
      <c r="AQ260" s="148">
        <f t="shared" si="17"/>
        <v>2.49559003855396</v>
      </c>
      <c r="AR260" s="3" t="s">
        <v>609</v>
      </c>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row>
    <row r="261" spans="1:95" ht="15" hidden="1" customHeight="1" outlineLevel="2" x14ac:dyDescent="0.25">
      <c r="A261" s="131"/>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row>
    <row r="262" spans="1:95" ht="15" hidden="1" customHeight="1" outlineLevel="2" x14ac:dyDescent="0.25">
      <c r="A262" s="131"/>
      <c r="C262" s="176" t="s">
        <v>814</v>
      </c>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0"/>
      <c r="AL262" s="150"/>
      <c r="AM262" s="150"/>
      <c r="AN262" s="150"/>
      <c r="AO262" s="150"/>
      <c r="AP262" s="150"/>
      <c r="AQ262" s="150"/>
      <c r="AR262" s="3"/>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row>
    <row r="263" spans="1:95" ht="15" hidden="1" customHeight="1" outlineLevel="2" x14ac:dyDescent="0.25">
      <c r="A263" s="131"/>
      <c r="B263" s="171" t="s">
        <v>760</v>
      </c>
      <c r="C263" s="177" t="s">
        <v>16</v>
      </c>
      <c r="D263" s="148">
        <v>1</v>
      </c>
      <c r="E263" s="148">
        <v>1</v>
      </c>
      <c r="F263" s="148">
        <v>0.5</v>
      </c>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c r="AP263" s="148"/>
      <c r="AQ263" s="148"/>
      <c r="AR263" s="3" t="s">
        <v>787</v>
      </c>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row>
    <row r="264" spans="1:95" ht="15" hidden="1" customHeight="1" outlineLevel="2" x14ac:dyDescent="0.25">
      <c r="A264" s="131"/>
      <c r="B264" s="171" t="s">
        <v>758</v>
      </c>
      <c r="C264" s="177" t="s">
        <v>17</v>
      </c>
      <c r="D264" s="148"/>
      <c r="E264" s="148"/>
      <c r="F264" s="148">
        <v>0.5</v>
      </c>
      <c r="G264" s="148">
        <v>1</v>
      </c>
      <c r="H264" s="148">
        <v>1</v>
      </c>
      <c r="I264" s="148">
        <v>0.5</v>
      </c>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c r="AH264" s="148"/>
      <c r="AI264" s="148"/>
      <c r="AJ264" s="148"/>
      <c r="AK264" s="148"/>
      <c r="AL264" s="148"/>
      <c r="AM264" s="148"/>
      <c r="AN264" s="148"/>
      <c r="AO264" s="148"/>
      <c r="AP264" s="148"/>
      <c r="AQ264" s="148"/>
      <c r="AR264" s="3" t="s">
        <v>788</v>
      </c>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c r="CM264" s="131"/>
      <c r="CN264" s="131"/>
      <c r="CO264" s="131"/>
      <c r="CP264" s="131"/>
      <c r="CQ264" s="131"/>
    </row>
    <row r="265" spans="1:95" ht="15" hidden="1" customHeight="1" outlineLevel="2" x14ac:dyDescent="0.25">
      <c r="A265" s="131"/>
      <c r="B265" s="171" t="s">
        <v>759</v>
      </c>
      <c r="C265" s="177" t="s">
        <v>18</v>
      </c>
      <c r="D265" s="148"/>
      <c r="E265" s="148"/>
      <c r="F265" s="148"/>
      <c r="G265" s="148"/>
      <c r="H265" s="148"/>
      <c r="I265" s="148">
        <v>0.5</v>
      </c>
      <c r="J265" s="148">
        <v>1</v>
      </c>
      <c r="K265" s="148">
        <v>1</v>
      </c>
      <c r="L265" s="148">
        <v>0.5</v>
      </c>
      <c r="M265" s="148"/>
      <c r="N265" s="148"/>
      <c r="O265" s="148"/>
      <c r="P265" s="148"/>
      <c r="Q265" s="148"/>
      <c r="R265" s="148"/>
      <c r="S265" s="148"/>
      <c r="T265" s="148"/>
      <c r="U265" s="148"/>
      <c r="V265" s="148"/>
      <c r="W265" s="148"/>
      <c r="X265" s="148"/>
      <c r="Y265" s="148"/>
      <c r="Z265" s="148"/>
      <c r="AA265" s="148"/>
      <c r="AB265" s="148"/>
      <c r="AC265" s="148"/>
      <c r="AD265" s="148"/>
      <c r="AE265" s="148"/>
      <c r="AF265" s="148"/>
      <c r="AG265" s="148"/>
      <c r="AH265" s="148"/>
      <c r="AI265" s="148"/>
      <c r="AJ265" s="148"/>
      <c r="AK265" s="148"/>
      <c r="AL265" s="148"/>
      <c r="AM265" s="148"/>
      <c r="AN265" s="148"/>
      <c r="AO265" s="148"/>
      <c r="AP265" s="148"/>
      <c r="AQ265" s="148"/>
      <c r="AR265" s="3" t="s">
        <v>789</v>
      </c>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row>
    <row r="266" spans="1:95" ht="15" hidden="1" customHeight="1" outlineLevel="2" x14ac:dyDescent="0.25">
      <c r="A266" s="131"/>
      <c r="B266" s="131"/>
      <c r="C266" s="177" t="s">
        <v>19</v>
      </c>
      <c r="D266" s="148"/>
      <c r="E266" s="148"/>
      <c r="F266" s="148"/>
      <c r="G266" s="148"/>
      <c r="H266" s="148"/>
      <c r="I266" s="148"/>
      <c r="J266" s="148"/>
      <c r="K266" s="148"/>
      <c r="L266" s="148">
        <v>0.5</v>
      </c>
      <c r="M266" s="148">
        <v>1</v>
      </c>
      <c r="N266" s="148">
        <v>1</v>
      </c>
      <c r="O266" s="148">
        <v>0.5</v>
      </c>
      <c r="P266" s="148"/>
      <c r="Q266" s="148"/>
      <c r="R266" s="148"/>
      <c r="S266" s="148"/>
      <c r="T266" s="148"/>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Q266" s="148"/>
      <c r="AR266" s="3" t="s">
        <v>790</v>
      </c>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row>
    <row r="267" spans="1:95" ht="15" hidden="1" customHeight="1" outlineLevel="2" x14ac:dyDescent="0.25">
      <c r="A267" s="131"/>
      <c r="B267" s="131"/>
      <c r="C267" s="177" t="s">
        <v>20</v>
      </c>
      <c r="D267" s="148"/>
      <c r="E267" s="148"/>
      <c r="F267" s="148"/>
      <c r="G267" s="148"/>
      <c r="H267" s="148"/>
      <c r="I267" s="148"/>
      <c r="J267" s="148"/>
      <c r="K267" s="148"/>
      <c r="L267" s="148"/>
      <c r="M267" s="148"/>
      <c r="N267" s="148"/>
      <c r="O267" s="148">
        <v>0.5</v>
      </c>
      <c r="P267" s="148">
        <v>1</v>
      </c>
      <c r="Q267" s="148">
        <v>1</v>
      </c>
      <c r="R267" s="148">
        <v>0.5</v>
      </c>
      <c r="S267" s="148"/>
      <c r="T267" s="148"/>
      <c r="U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c r="AP267" s="148"/>
      <c r="AQ267" s="148"/>
      <c r="AR267" s="3" t="s">
        <v>791</v>
      </c>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row>
    <row r="268" spans="1:95" ht="15" hidden="1" customHeight="1" outlineLevel="2" x14ac:dyDescent="0.25">
      <c r="A268" s="131"/>
      <c r="B268" s="131"/>
      <c r="C268" s="177" t="s">
        <v>21</v>
      </c>
      <c r="D268" s="148"/>
      <c r="E268" s="148"/>
      <c r="F268" s="148"/>
      <c r="G268" s="148"/>
      <c r="H268" s="148"/>
      <c r="I268" s="148"/>
      <c r="J268" s="148"/>
      <c r="K268" s="148"/>
      <c r="L268" s="148"/>
      <c r="M268" s="148"/>
      <c r="N268" s="148"/>
      <c r="O268" s="148"/>
      <c r="P268" s="148"/>
      <c r="Q268" s="148"/>
      <c r="R268" s="148">
        <v>0.5</v>
      </c>
      <c r="S268" s="148">
        <v>1</v>
      </c>
      <c r="T268" s="148">
        <v>1</v>
      </c>
      <c r="U268" s="148">
        <v>0.5</v>
      </c>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Q268" s="148"/>
      <c r="AR268" s="3" t="s">
        <v>792</v>
      </c>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row>
    <row r="269" spans="1:95" ht="15" hidden="1" customHeight="1" outlineLevel="2" x14ac:dyDescent="0.25">
      <c r="A269" s="131"/>
      <c r="B269" s="131"/>
      <c r="C269" s="177" t="s">
        <v>22</v>
      </c>
      <c r="D269" s="148"/>
      <c r="E269" s="148"/>
      <c r="F269" s="148"/>
      <c r="G269" s="148"/>
      <c r="H269" s="148"/>
      <c r="I269" s="148"/>
      <c r="J269" s="148"/>
      <c r="K269" s="148"/>
      <c r="L269" s="148"/>
      <c r="M269" s="148"/>
      <c r="N269" s="148"/>
      <c r="O269" s="148"/>
      <c r="P269" s="148"/>
      <c r="Q269" s="148"/>
      <c r="R269" s="148"/>
      <c r="S269" s="148"/>
      <c r="T269" s="148"/>
      <c r="U269" s="148">
        <v>0.5</v>
      </c>
      <c r="V269" s="148">
        <v>1</v>
      </c>
      <c r="W269" s="148">
        <v>1</v>
      </c>
      <c r="X269" s="148">
        <v>0.5</v>
      </c>
      <c r="Y269" s="148"/>
      <c r="Z269" s="148"/>
      <c r="AA269" s="148"/>
      <c r="AB269" s="148"/>
      <c r="AC269" s="148"/>
      <c r="AD269" s="148"/>
      <c r="AE269" s="148"/>
      <c r="AF269" s="148"/>
      <c r="AG269" s="148"/>
      <c r="AH269" s="148"/>
      <c r="AI269" s="148"/>
      <c r="AJ269" s="148"/>
      <c r="AK269" s="148"/>
      <c r="AL269" s="148"/>
      <c r="AM269" s="148"/>
      <c r="AN269" s="148"/>
      <c r="AO269" s="148"/>
      <c r="AP269" s="148"/>
      <c r="AQ269" s="148"/>
      <c r="AR269" s="3" t="s">
        <v>793</v>
      </c>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row>
    <row r="270" spans="1:95" ht="15" hidden="1" customHeight="1" outlineLevel="2" x14ac:dyDescent="0.25">
      <c r="A270" s="131"/>
      <c r="B270" s="131"/>
      <c r="C270" s="177" t="s">
        <v>23</v>
      </c>
      <c r="D270" s="148"/>
      <c r="E270" s="148"/>
      <c r="F270" s="148"/>
      <c r="G270" s="148"/>
      <c r="H270" s="148"/>
      <c r="I270" s="148"/>
      <c r="J270" s="148"/>
      <c r="K270" s="148"/>
      <c r="L270" s="148"/>
      <c r="M270" s="148"/>
      <c r="N270" s="148"/>
      <c r="O270" s="148"/>
      <c r="P270" s="148"/>
      <c r="Q270" s="148"/>
      <c r="R270" s="148"/>
      <c r="S270" s="148"/>
      <c r="T270" s="148"/>
      <c r="U270" s="148"/>
      <c r="V270" s="148"/>
      <c r="W270" s="148"/>
      <c r="X270" s="148">
        <v>0.5</v>
      </c>
      <c r="Y270" s="148">
        <v>1</v>
      </c>
      <c r="Z270" s="148">
        <v>1</v>
      </c>
      <c r="AA270" s="148">
        <v>0.5</v>
      </c>
      <c r="AB270" s="148"/>
      <c r="AC270" s="148"/>
      <c r="AD270" s="148"/>
      <c r="AE270" s="148"/>
      <c r="AF270" s="148"/>
      <c r="AG270" s="148"/>
      <c r="AH270" s="148"/>
      <c r="AI270" s="148"/>
      <c r="AJ270" s="148"/>
      <c r="AK270" s="148"/>
      <c r="AL270" s="148"/>
      <c r="AM270" s="148"/>
      <c r="AN270" s="148"/>
      <c r="AO270" s="148"/>
      <c r="AP270" s="148"/>
      <c r="AQ270" s="148"/>
      <c r="AR270" s="3" t="s">
        <v>794</v>
      </c>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row>
    <row r="271" spans="1:95" ht="15" hidden="1" customHeight="1" outlineLevel="2" x14ac:dyDescent="0.25">
      <c r="A271" s="131"/>
      <c r="B271" s="131"/>
      <c r="C271" s="177" t="s">
        <v>24</v>
      </c>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v>0.5</v>
      </c>
      <c r="AB271" s="148">
        <v>1</v>
      </c>
      <c r="AC271" s="148">
        <v>1</v>
      </c>
      <c r="AD271" s="148">
        <v>0.5</v>
      </c>
      <c r="AE271" s="148"/>
      <c r="AF271" s="148"/>
      <c r="AG271" s="148"/>
      <c r="AH271" s="148"/>
      <c r="AI271" s="148"/>
      <c r="AJ271" s="148"/>
      <c r="AK271" s="148"/>
      <c r="AL271" s="148"/>
      <c r="AM271" s="148"/>
      <c r="AN271" s="148"/>
      <c r="AO271" s="148"/>
      <c r="AP271" s="148"/>
      <c r="AQ271" s="148"/>
      <c r="AR271" s="3" t="s">
        <v>795</v>
      </c>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row>
    <row r="272" spans="1:95" ht="15" hidden="1" customHeight="1" outlineLevel="2" x14ac:dyDescent="0.25">
      <c r="A272" s="131"/>
      <c r="B272" s="131"/>
      <c r="C272" s="177" t="s">
        <v>25</v>
      </c>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v>0.5</v>
      </c>
      <c r="AE272" s="148">
        <v>1</v>
      </c>
      <c r="AF272" s="148">
        <v>1</v>
      </c>
      <c r="AG272" s="148">
        <v>0.5</v>
      </c>
      <c r="AH272" s="148"/>
      <c r="AI272" s="148"/>
      <c r="AJ272" s="148"/>
      <c r="AK272" s="148"/>
      <c r="AL272" s="148"/>
      <c r="AM272" s="148"/>
      <c r="AN272" s="148"/>
      <c r="AO272" s="148"/>
      <c r="AP272" s="148"/>
      <c r="AQ272" s="148"/>
      <c r="AR272" s="3" t="s">
        <v>796</v>
      </c>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row>
    <row r="273" spans="1:95" ht="15" hidden="1" customHeight="1" outlineLevel="2" x14ac:dyDescent="0.25">
      <c r="A273" s="131"/>
      <c r="B273" s="131"/>
      <c r="C273" s="177" t="s">
        <v>26</v>
      </c>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v>0.5</v>
      </c>
      <c r="AH273" s="148">
        <v>1</v>
      </c>
      <c r="AI273" s="148">
        <v>1</v>
      </c>
      <c r="AJ273" s="148">
        <v>0.5</v>
      </c>
      <c r="AK273" s="148"/>
      <c r="AL273" s="148"/>
      <c r="AM273" s="148"/>
      <c r="AN273" s="148"/>
      <c r="AO273" s="148"/>
      <c r="AP273" s="148"/>
      <c r="AQ273" s="148"/>
      <c r="AR273" s="3" t="s">
        <v>797</v>
      </c>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131"/>
      <c r="CC273" s="131"/>
      <c r="CD273" s="131"/>
      <c r="CE273" s="131"/>
      <c r="CF273" s="131"/>
      <c r="CG273" s="131"/>
      <c r="CH273" s="131"/>
      <c r="CI273" s="131"/>
      <c r="CJ273" s="131"/>
      <c r="CK273" s="131"/>
      <c r="CL273" s="131"/>
      <c r="CM273" s="131"/>
      <c r="CN273" s="131"/>
      <c r="CO273" s="131"/>
      <c r="CP273" s="131"/>
      <c r="CQ273" s="131"/>
    </row>
    <row r="274" spans="1:95" ht="15" hidden="1" customHeight="1" outlineLevel="2" x14ac:dyDescent="0.25">
      <c r="A274" s="131"/>
      <c r="B274" s="131"/>
      <c r="C274" s="177" t="s">
        <v>27</v>
      </c>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c r="AH274" s="148"/>
      <c r="AI274" s="148"/>
      <c r="AJ274" s="148">
        <v>0.5</v>
      </c>
      <c r="AK274" s="148">
        <v>1</v>
      </c>
      <c r="AL274" s="148">
        <v>1</v>
      </c>
      <c r="AM274" s="148">
        <v>0.5</v>
      </c>
      <c r="AN274" s="148"/>
      <c r="AO274" s="148"/>
      <c r="AP274" s="148"/>
      <c r="AQ274" s="148"/>
      <c r="AR274" s="3" t="s">
        <v>798</v>
      </c>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row>
    <row r="275" spans="1:95" ht="15" hidden="1" customHeight="1" outlineLevel="2" x14ac:dyDescent="0.25">
      <c r="A275" s="131"/>
      <c r="B275" s="131"/>
      <c r="C275" s="177" t="s">
        <v>28</v>
      </c>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148"/>
      <c r="AL275" s="148"/>
      <c r="AM275" s="148">
        <v>0.5</v>
      </c>
      <c r="AN275" s="148">
        <v>1</v>
      </c>
      <c r="AO275" s="148">
        <v>1</v>
      </c>
      <c r="AP275" s="148">
        <v>0.5</v>
      </c>
      <c r="AQ275" s="148"/>
      <c r="AR275" s="3" t="s">
        <v>799</v>
      </c>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row>
    <row r="276" spans="1:95" ht="15" hidden="1" customHeight="1" outlineLevel="2" x14ac:dyDescent="0.25">
      <c r="A276" s="131"/>
      <c r="B276" s="21"/>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0"/>
      <c r="AL276" s="150"/>
      <c r="AM276" s="150"/>
      <c r="AN276" s="150"/>
      <c r="AO276" s="150"/>
      <c r="AP276" s="131"/>
      <c r="AQ276" s="131"/>
      <c r="AR276" s="131"/>
      <c r="AS276" s="13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c r="BW276" s="131"/>
      <c r="BX276" s="131"/>
      <c r="BY276" s="131"/>
      <c r="BZ276" s="131"/>
      <c r="CA276" s="131"/>
      <c r="CB276" s="131"/>
      <c r="CC276" s="131"/>
      <c r="CD276" s="131"/>
      <c r="CE276" s="131"/>
      <c r="CF276" s="131"/>
      <c r="CG276" s="131"/>
      <c r="CH276" s="131"/>
      <c r="CI276" s="131"/>
      <c r="CJ276" s="131"/>
      <c r="CK276" s="131"/>
      <c r="CL276" s="131"/>
      <c r="CM276" s="131"/>
      <c r="CN276" s="131"/>
      <c r="CO276" s="131"/>
      <c r="CP276" s="131"/>
      <c r="CQ276" s="131"/>
    </row>
    <row r="277" spans="1:95" ht="15" hidden="1" customHeight="1" outlineLevel="1" collapsed="1" x14ac:dyDescent="0.25">
      <c r="A277" s="131"/>
      <c r="B277" s="191" t="s">
        <v>63</v>
      </c>
      <c r="C277" s="131"/>
      <c r="D277" s="23" t="s">
        <v>16</v>
      </c>
      <c r="E277" s="24" t="s">
        <v>17</v>
      </c>
      <c r="F277" s="24" t="s">
        <v>18</v>
      </c>
      <c r="G277" s="24" t="s">
        <v>19</v>
      </c>
      <c r="H277" s="24" t="s">
        <v>20</v>
      </c>
      <c r="I277" s="24" t="s">
        <v>21</v>
      </c>
      <c r="J277" s="24" t="s">
        <v>22</v>
      </c>
      <c r="K277" s="24" t="s">
        <v>23</v>
      </c>
      <c r="L277" s="24" t="s">
        <v>24</v>
      </c>
      <c r="M277" s="24" t="s">
        <v>25</v>
      </c>
      <c r="N277" s="24" t="s">
        <v>26</v>
      </c>
      <c r="O277" s="24" t="s">
        <v>27</v>
      </c>
      <c r="P277" s="24" t="s">
        <v>28</v>
      </c>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c r="CM277" s="131"/>
      <c r="CN277" s="131"/>
      <c r="CO277" s="131"/>
      <c r="CP277" s="131"/>
      <c r="CQ277" s="131"/>
    </row>
    <row r="278" spans="1:95" ht="15" hidden="1" customHeight="1" outlineLevel="1" x14ac:dyDescent="0.25">
      <c r="A278" s="131"/>
      <c r="B278" s="191"/>
      <c r="C278" s="131"/>
      <c r="D278" s="23" t="s">
        <v>17</v>
      </c>
      <c r="E278" s="24" t="s">
        <v>18</v>
      </c>
      <c r="F278" s="24" t="s">
        <v>19</v>
      </c>
      <c r="G278" s="24" t="s">
        <v>20</v>
      </c>
      <c r="H278" s="24" t="s">
        <v>21</v>
      </c>
      <c r="I278" s="24" t="s">
        <v>22</v>
      </c>
      <c r="J278" s="24" t="s">
        <v>23</v>
      </c>
      <c r="K278" s="24" t="s">
        <v>24</v>
      </c>
      <c r="L278" s="24" t="s">
        <v>25</v>
      </c>
      <c r="M278" s="24" t="s">
        <v>26</v>
      </c>
      <c r="N278" s="24" t="s">
        <v>27</v>
      </c>
      <c r="O278" s="24" t="s">
        <v>28</v>
      </c>
      <c r="P278" s="24" t="s">
        <v>29</v>
      </c>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row>
    <row r="279" spans="1:95" ht="15" hidden="1" customHeight="1" outlineLevel="1" x14ac:dyDescent="0.25">
      <c r="A279" s="131"/>
      <c r="B279" s="131" t="s">
        <v>98</v>
      </c>
      <c r="C279" s="131"/>
      <c r="D279" s="148">
        <f>SUMPRODUCT(Stroke_values_1dB_table,stroke_1_to_3_dB_band_45)</f>
        <v>0</v>
      </c>
      <c r="E279" s="148">
        <f>SUMPRODUCT(Stroke_values_1dB_table,stroke_1_to_3_dB_band_45_48)</f>
        <v>5.8260357785812484</v>
      </c>
      <c r="F279" s="148">
        <f>SUMPRODUCT(Stroke_values_1dB_table,stroke_1_to_3_dB_band_48_51)</f>
        <v>7.0387459079248798</v>
      </c>
      <c r="G279" s="148">
        <f>SUMPRODUCT(Stroke_values_1dB_table,stroke_1_to_3_dB_band_51_54)</f>
        <v>7.0919454375370048</v>
      </c>
      <c r="H279" s="148">
        <f>SUMPRODUCT(Stroke_values_1dB_table,stroke_1_to_3_dB_band_54_57)</f>
        <v>7.1456000167730762</v>
      </c>
      <c r="I279" s="148">
        <f>SUMPRODUCT(Stroke_values_1dB_table,stroke_1_to_3_dB_band_57_60)</f>
        <v>7.1997140664291237</v>
      </c>
      <c r="J279" s="148">
        <f>SUMPRODUCT(Stroke_values_1dB_table,stroke_1_to_3_dB_band_60_63)</f>
        <v>7.2542920554265509</v>
      </c>
      <c r="K279" s="148">
        <f>SUMPRODUCT(Stroke_values_1dB_table,stroke_1_to_3_dB_band_63_66)</f>
        <v>7.3093385013854029</v>
      </c>
      <c r="L279" s="148">
        <f>SUMPRODUCT(Stroke_values_1dB_table,stroke_1_to_3_dB_band_66_69)</f>
        <v>7.3648579712041391</v>
      </c>
      <c r="M279" s="148">
        <f>SUMPRODUCT(Stroke_values_1dB_table,stroke_1_to_3_dB_band_69_72)</f>
        <v>7.4208550816477725</v>
      </c>
      <c r="N279" s="148">
        <f>SUMPRODUCT(Stroke_values_1dB_table,stroke_1_to_3_dB_band_72_75)</f>
        <v>7.4741742485673814</v>
      </c>
      <c r="O279" s="148">
        <f>SUMPRODUCT(Stroke_values_1dB_table,stroke_1_to_3_dB_band_75_78)</f>
        <v>7.4867701156618693</v>
      </c>
      <c r="P279" s="148">
        <f>SUMPRODUCT(Stroke_values_1dB_table,stroke_1_to_3_dB_band_78_81)</f>
        <v>7.4867701156618711</v>
      </c>
      <c r="Q279" s="20" t="s">
        <v>651</v>
      </c>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row>
    <row r="280" spans="1:95" s="8" customFormat="1" ht="15" hidden="1" customHeight="1" outlineLevel="1" x14ac:dyDescent="0.25">
      <c r="A280" s="89"/>
      <c r="B280" s="22"/>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0"/>
      <c r="AL280" s="150"/>
      <c r="AM280" s="150"/>
      <c r="AN280" s="150"/>
      <c r="AO280" s="150"/>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row>
    <row r="281" spans="1:95" s="25" customFormat="1" ht="15" hidden="1" customHeight="1" outlineLevel="1" x14ac:dyDescent="0.25">
      <c r="A281" s="27"/>
      <c r="B281" s="134"/>
      <c r="C281" s="91" t="s">
        <v>15</v>
      </c>
      <c r="D281" s="92" t="s">
        <v>16</v>
      </c>
      <c r="E281" s="135" t="s">
        <v>17</v>
      </c>
      <c r="F281" s="135" t="s">
        <v>18</v>
      </c>
      <c r="G281" s="135" t="s">
        <v>19</v>
      </c>
      <c r="H281" s="135" t="s">
        <v>20</v>
      </c>
      <c r="I281" s="135" t="s">
        <v>21</v>
      </c>
      <c r="J281" s="135" t="s">
        <v>22</v>
      </c>
      <c r="K281" s="135" t="s">
        <v>23</v>
      </c>
      <c r="L281" s="135" t="s">
        <v>24</v>
      </c>
      <c r="M281" s="135" t="s">
        <v>25</v>
      </c>
      <c r="N281" s="135" t="s">
        <v>26</v>
      </c>
      <c r="O281" s="135" t="s">
        <v>27</v>
      </c>
      <c r="P281" s="135" t="s">
        <v>28</v>
      </c>
      <c r="Q281" s="135" t="s">
        <v>29</v>
      </c>
      <c r="R281" s="26" t="s">
        <v>99</v>
      </c>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row>
    <row r="282" spans="1:95" s="25" customFormat="1" ht="15" hidden="1" customHeight="1" outlineLevel="1" x14ac:dyDescent="0.25">
      <c r="A282" s="27"/>
      <c r="B282" s="91" t="s">
        <v>30</v>
      </c>
      <c r="C282" s="138"/>
      <c r="D282" s="138"/>
      <c r="E282" s="138"/>
      <c r="F282" s="138"/>
      <c r="G282" s="138"/>
      <c r="H282" s="138"/>
      <c r="I282" s="138"/>
      <c r="J282" s="138"/>
      <c r="K282" s="138"/>
      <c r="L282" s="138"/>
      <c r="M282" s="138"/>
      <c r="N282" s="138"/>
      <c r="O282" s="138"/>
      <c r="P282" s="138"/>
      <c r="Q282" s="136"/>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row>
    <row r="283" spans="1:95" s="25" customFormat="1" ht="15" hidden="1" customHeight="1" outlineLevel="1" x14ac:dyDescent="0.25">
      <c r="A283" s="27"/>
      <c r="B283" s="92" t="s">
        <v>16</v>
      </c>
      <c r="C283" s="110"/>
      <c r="D283" s="145">
        <v>0</v>
      </c>
      <c r="E283" s="145">
        <f>-(HLOOKUP(Noise_3dB_bands,Stroke_values_3dB_table,2,0))</f>
        <v>0</v>
      </c>
      <c r="F283" s="145">
        <f>-(HLOOKUP(Noise_3dB_bands,Stroke_values_3dB_table,2,0)) + Without_45_with_45_48_stroke_value</f>
        <v>-5.8260357785812484</v>
      </c>
      <c r="G283" s="145">
        <f>-(HLOOKUP(Noise_3dB_bands,Stroke_values_3dB_table,2,0)) +Without_45_with_48_51_stroke_value</f>
        <v>-12.864781686506127</v>
      </c>
      <c r="H283" s="145">
        <f>-(HLOOKUP(Noise_3dB_bands,Stroke_values_3dB_table,2,0)) +Without_45_with_51_54_stroke_value</f>
        <v>-19.956727124043134</v>
      </c>
      <c r="I283" s="145">
        <f>-(HLOOKUP(Noise_3dB_bands,Stroke_values_3dB_table,2,0)) +Without_45_with_54_57_stroke_value</f>
        <v>-27.102327140816211</v>
      </c>
      <c r="J283" s="145">
        <f>-(HLOOKUP(Noise_3dB_bands,Stroke_values_3dB_table,2,0)) + Without_45_with_57_60_stroke_value</f>
        <v>-34.302041207245338</v>
      </c>
      <c r="K283" s="145">
        <f>-(HLOOKUP(Noise_3dB_bands,Stroke_values_3dB_table,2,0)) +Without_45_with_60_63_stroke_value</f>
        <v>-41.556333262671892</v>
      </c>
      <c r="L283" s="145">
        <f>-(HLOOKUP(Noise_3dB_bands,Stroke_values_3dB_table,2,0)) +Without_45_with_63_66_stroke_value</f>
        <v>-48.865671764057296</v>
      </c>
      <c r="M283" s="145">
        <f>-(HLOOKUP(Noise_3dB_bands,Stroke_values_3dB_table,2,0)) +Without_45_with_66_69_stroke_value</f>
        <v>-56.230529735261435</v>
      </c>
      <c r="N283" s="145">
        <f>-(HLOOKUP(Noise_3dB_bands,Stroke_values_3dB_table,2,0)) +Without_45_with_69_72_stroke_value</f>
        <v>-63.651384816909207</v>
      </c>
      <c r="O283" s="145">
        <f>-(HLOOKUP(Noise_3dB_bands,Stroke_values_3dB_table,2,0)) +Without_45_with_72_75_stroke_value</f>
        <v>-71.125559065476594</v>
      </c>
      <c r="P283" s="145">
        <f>-(HLOOKUP(Noise_3dB_bands,Stroke_values_3dB_table,2,0)) +Without_45_with_75_78_stroke_value</f>
        <v>-78.612329181138463</v>
      </c>
      <c r="Q283" s="145">
        <f>-(HLOOKUP(Noise_3dB_bands,Stroke_values_3dB_table,2,0)) +Without_45_with_78_81_stroke_value</f>
        <v>-86.099099296800333</v>
      </c>
      <c r="R283" s="26" t="s">
        <v>167</v>
      </c>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row>
    <row r="284" spans="1:95" s="25" customFormat="1" ht="15" hidden="1" customHeight="1" outlineLevel="1" x14ac:dyDescent="0.25">
      <c r="A284" s="27"/>
      <c r="B284" s="135" t="s">
        <v>17</v>
      </c>
      <c r="C284" s="152"/>
      <c r="D284" s="145">
        <f>-Without_45_with_45_48_stroke_value</f>
        <v>0</v>
      </c>
      <c r="E284" s="145">
        <v>0</v>
      </c>
      <c r="F284" s="145">
        <f>-(HLOOKUP(Noise_3dB_bands,Stroke_values_3dB_table,2,0))</f>
        <v>-5.8260357785812484</v>
      </c>
      <c r="G284" s="145">
        <f>-(HLOOKUP(Noise_3dB_bands,Stroke_values_3dB_table,2,0))+Without_45_48_with_48_51_stroke_value</f>
        <v>-12.864781686506127</v>
      </c>
      <c r="H284" s="145">
        <f>-(HLOOKUP(Noise_3dB_bands,Stroke_values_3dB_table,2,0))+Without_45_48_with_51_54_stroke_value</f>
        <v>-19.956727124043134</v>
      </c>
      <c r="I284" s="145">
        <f>-(HLOOKUP(Noise_3dB_bands,Stroke_values_3dB_table,2,0))+Without_45_48_with_54_57_stroke_value</f>
        <v>-27.102327140816211</v>
      </c>
      <c r="J284" s="145">
        <f>-(HLOOKUP(Noise_3dB_bands,Stroke_values_3dB_table,2,0))+Without_45_48_with_57_60_stroke_value</f>
        <v>-34.302041207245338</v>
      </c>
      <c r="K284" s="145">
        <f>-(HLOOKUP(Noise_3dB_bands,Stroke_values_3dB_table,2,0))+Without_45_48_with_60_63_stroke_value</f>
        <v>-41.556333262671892</v>
      </c>
      <c r="L284" s="145">
        <f>-(HLOOKUP(Noise_3dB_bands,Stroke_values_3dB_table,2,0))+Without_45_48_with_63_66_stroke_value</f>
        <v>-48.865671764057296</v>
      </c>
      <c r="M284" s="145">
        <f>-(HLOOKUP(Noise_3dB_bands,Stroke_values_3dB_table,2,0))+Without_45_48_with_66_69_stroke_value</f>
        <v>-56.230529735261435</v>
      </c>
      <c r="N284" s="145">
        <f>-(HLOOKUP(Noise_3dB_bands,Stroke_values_3dB_table,2,0))+Without_45_48_with_69_72_stroke_value</f>
        <v>-63.651384816909207</v>
      </c>
      <c r="O284" s="145">
        <f>-(HLOOKUP(Noise_3dB_bands,Stroke_values_3dB_table,2,0))+Without_45_48_with_72_75_stroke_value</f>
        <v>-71.125559065476594</v>
      </c>
      <c r="P284" s="145">
        <f>-(HLOOKUP(Noise_3dB_bands,Stroke_values_3dB_table,2,0))+Without_45_48_with_75_78_stroke_value</f>
        <v>-78.612329181138463</v>
      </c>
      <c r="Q284" s="145">
        <f>-(HLOOKUP(Noise_3dB_bands,Stroke_values_3dB_table,2,0))+Without_45_48_with_78_81_stroke_value</f>
        <v>-86.099099296800333</v>
      </c>
      <c r="R284" s="26" t="s">
        <v>168</v>
      </c>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row>
    <row r="285" spans="1:95" s="25" customFormat="1" ht="15" hidden="1" customHeight="1" outlineLevel="1" x14ac:dyDescent="0.25">
      <c r="A285" s="27"/>
      <c r="B285" s="135" t="s">
        <v>18</v>
      </c>
      <c r="C285" s="152"/>
      <c r="D285" s="145">
        <f>-Without_45_with_48_51_stroke_value</f>
        <v>5.8260357785812484</v>
      </c>
      <c r="E285" s="145">
        <f>-Without_45_48_with_48_51_stroke_value</f>
        <v>5.8260357785812484</v>
      </c>
      <c r="F285" s="145">
        <v>0</v>
      </c>
      <c r="G285" s="145">
        <f>-(HLOOKUP(Noise_3dB_bands,Stroke_values_3dB_table,2,0))</f>
        <v>-7.0387459079248798</v>
      </c>
      <c r="H285" s="145">
        <f>-(HLOOKUP(Noise_3dB_bands,Stroke_values_3dB_table,2,0))+Without_48_51_with_51_54_stroke_value</f>
        <v>-14.130691345461884</v>
      </c>
      <c r="I285" s="145">
        <f>-(HLOOKUP(Noise_3dB_bands,Stroke_values_3dB_table,2,0))+Without_48_51_with_54_57_stroke_value</f>
        <v>-21.276291362234961</v>
      </c>
      <c r="J285" s="145">
        <f>-(HLOOKUP(Noise_3dB_bands,Stroke_values_3dB_table,2,0))+Without_48_51_with_57_60_stroke_value</f>
        <v>-28.476005428664084</v>
      </c>
      <c r="K285" s="145">
        <f>-(HLOOKUP(Noise_3dB_bands,Stroke_values_3dB_table,2,0))+Without_48_51_with_60_63_stroke_value</f>
        <v>-35.730297484090634</v>
      </c>
      <c r="L285" s="145">
        <f>-(HLOOKUP(Noise_3dB_bands,Stroke_values_3dB_table,2,0))+Without_48_51_with_63_66_stroke_value</f>
        <v>-43.039635985476039</v>
      </c>
      <c r="M285" s="145">
        <f>-(HLOOKUP(Noise_3dB_bands,Stroke_values_3dB_table,2,0))+Without_48_51_with_66_69_stroke_value</f>
        <v>-50.404493956680177</v>
      </c>
      <c r="N285" s="145">
        <f>-(HLOOKUP(Noise_3dB_bands,Stroke_values_3dB_table,2,0))+Without_48_51_with_69_72_stroke_value</f>
        <v>-57.82534903832795</v>
      </c>
      <c r="O285" s="145">
        <f>-(HLOOKUP(Noise_3dB_bands,Stroke_values_3dB_table,2,0))+Without_48_51_with_72_75_stroke_value</f>
        <v>-65.299523286895337</v>
      </c>
      <c r="P285" s="145">
        <f>-(HLOOKUP(Noise_3dB_bands,Stroke_values_3dB_table,2,0))+Without_48_51_with_75_78_stroke_value</f>
        <v>-72.786293402557206</v>
      </c>
      <c r="Q285" s="145">
        <f>-(HLOOKUP(Noise_3dB_bands,Stroke_values_3dB_table,2,0))+Without_48_51_with_78_81_stroke_value</f>
        <v>-80.273063518219075</v>
      </c>
      <c r="R285" s="26" t="s">
        <v>169</v>
      </c>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row>
    <row r="286" spans="1:95" s="25" customFormat="1" ht="15" hidden="1" customHeight="1" outlineLevel="1" x14ac:dyDescent="0.25">
      <c r="A286" s="27"/>
      <c r="B286" s="135" t="s">
        <v>19</v>
      </c>
      <c r="C286" s="152"/>
      <c r="D286" s="145">
        <f>-Without_45_with_51_54_stroke_value</f>
        <v>12.864781686506127</v>
      </c>
      <c r="E286" s="145">
        <f>-Without_45_48_with_51_54_stroke_value</f>
        <v>12.864781686506127</v>
      </c>
      <c r="F286" s="145">
        <f>-Without_48_51_with_51_54_stroke_value</f>
        <v>7.0387459079248798</v>
      </c>
      <c r="G286" s="145">
        <v>0</v>
      </c>
      <c r="H286" s="145">
        <f>-(HLOOKUP(Noise_3dB_bands,Stroke_values_3dB_table,2,0))</f>
        <v>-7.0919454375370048</v>
      </c>
      <c r="I286" s="145">
        <f>-(HLOOKUP(Noise_3dB_bands,Stroke_values_3dB_table,2,0))+Without_51_54_with_54_57_stroke_value</f>
        <v>-14.23754545431008</v>
      </c>
      <c r="J286" s="145">
        <f>-(HLOOKUP(Noise_3dB_bands,Stroke_values_3dB_table,2,0))+Without_51_54_with_57_60_stroke_value</f>
        <v>-21.437259520739204</v>
      </c>
      <c r="K286" s="145">
        <f>-(HLOOKUP(Noise_3dB_bands,Stroke_values_3dB_table,2,0))+Without_51_54_with_60_63_stroke_value</f>
        <v>-28.691551576165754</v>
      </c>
      <c r="L286" s="145">
        <f>-(HLOOKUP(Noise_3dB_bands,Stroke_values_3dB_table,2,0))+Without_51_54_with_63_66_stroke_value</f>
        <v>-36.000890077551155</v>
      </c>
      <c r="M286" s="145">
        <f>-(HLOOKUP(Noise_3dB_bands,Stroke_values_3dB_table,2,0))+Without_51_54_with_66_69_stroke_value</f>
        <v>-43.365748048755293</v>
      </c>
      <c r="N286" s="145">
        <f>-(HLOOKUP(Noise_3dB_bands,Stroke_values_3dB_table,2,0))+Without_51_54_with_69_72_stroke_value</f>
        <v>-50.786603130403066</v>
      </c>
      <c r="O286" s="145">
        <f>-(HLOOKUP(Noise_3dB_bands,Stroke_values_3dB_table,2,0))+Without_51_54_with_72_75_stroke_value</f>
        <v>-58.260777378970445</v>
      </c>
      <c r="P286" s="145">
        <f>-(HLOOKUP(Noise_3dB_bands,Stroke_values_3dB_table,2,0))+Without_51_54_with_75_78_stroke_value</f>
        <v>-65.747547494632315</v>
      </c>
      <c r="Q286" s="145">
        <f>-(HLOOKUP(Noise_3dB_bands,Stroke_values_3dB_table,2,0))+Without_51_54_with_78_81_stroke_value</f>
        <v>-73.234317610294184</v>
      </c>
      <c r="R286" s="26" t="s">
        <v>170</v>
      </c>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row>
    <row r="287" spans="1:95" s="25" customFormat="1" ht="15" hidden="1" customHeight="1" outlineLevel="1" x14ac:dyDescent="0.25">
      <c r="A287" s="27"/>
      <c r="B287" s="135" t="s">
        <v>20</v>
      </c>
      <c r="C287" s="152"/>
      <c r="D287" s="145">
        <f>-Without_45_with_54_57_stroke_value</f>
        <v>19.956727124043134</v>
      </c>
      <c r="E287" s="145">
        <f>-Without_45_48_with_54_57_stroke_value</f>
        <v>19.956727124043134</v>
      </c>
      <c r="F287" s="145">
        <f>-Without_48_51_with_54_57_stroke_value</f>
        <v>14.130691345461884</v>
      </c>
      <c r="G287" s="145">
        <f>-Without_51_54_with_54_57_stroke_value</f>
        <v>7.0919454375370048</v>
      </c>
      <c r="H287" s="145">
        <v>0</v>
      </c>
      <c r="I287" s="145">
        <f>-(HLOOKUP(Noise_3dB_bands,Stroke_values_3dB_table,2,0))</f>
        <v>-7.1456000167730762</v>
      </c>
      <c r="J287" s="145">
        <f>-(HLOOKUP(Noise_3dB_bands,Stroke_values_3dB_table,2,0))+Without_54_57_with_57_60_stroke_value</f>
        <v>-14.345314083202201</v>
      </c>
      <c r="K287" s="145">
        <f>-(HLOOKUP(Noise_3dB_bands,Stroke_values_3dB_table,2,0))+Without_54_57_with_60_63_stroke_value</f>
        <v>-21.599606138628751</v>
      </c>
      <c r="L287" s="145">
        <f>-(HLOOKUP(Noise_3dB_bands,Stroke_values_3dB_table,2,0))+Without_54_57_with_63_66_stroke_value</f>
        <v>-28.908944640014155</v>
      </c>
      <c r="M287" s="145">
        <f>-(HLOOKUP(Noise_3dB_bands,Stroke_values_3dB_table,2,0))+Without_54_57_with_66_69_stroke_value</f>
        <v>-36.273802611218294</v>
      </c>
      <c r="N287" s="145">
        <f>-(HLOOKUP(Noise_3dB_bands,Stroke_values_3dB_table,2,0))+Without_54_57_with_69_72_stroke_value</f>
        <v>-43.694657692866066</v>
      </c>
      <c r="O287" s="145">
        <f>-(HLOOKUP(Noise_3dB_bands,Stroke_values_3dB_table,2,0))+Without_54_57_with_72_75_stroke_value</f>
        <v>-51.168831941433446</v>
      </c>
      <c r="P287" s="145">
        <f>-(HLOOKUP(Noise_3dB_bands,Stroke_values_3dB_table,2,0))+Without_54_57_with_75_78_stroke_value</f>
        <v>-58.655602057095315</v>
      </c>
      <c r="Q287" s="145">
        <f>-(HLOOKUP(Noise_3dB_bands,Stroke_values_3dB_table,2,0))+Without_54_57_with_78_81_stroke_value</f>
        <v>-66.142372172757192</v>
      </c>
      <c r="R287" s="26" t="s">
        <v>171</v>
      </c>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row>
    <row r="288" spans="1:95" s="25" customFormat="1" ht="15" hidden="1" customHeight="1" outlineLevel="1" x14ac:dyDescent="0.25">
      <c r="A288" s="27"/>
      <c r="B288" s="135" t="s">
        <v>21</v>
      </c>
      <c r="C288" s="152"/>
      <c r="D288" s="145">
        <f>-Without_45_with_57_60_stroke_value</f>
        <v>27.102327140816211</v>
      </c>
      <c r="E288" s="145">
        <f>-Without_45_48_with_57_60_stroke_value</f>
        <v>27.102327140816211</v>
      </c>
      <c r="F288" s="145">
        <f>-Without_48_51_with_57_60_stroke_value</f>
        <v>21.276291362234961</v>
      </c>
      <c r="G288" s="145">
        <f>-Without_51_54_with_57_60_stroke_value</f>
        <v>14.23754545431008</v>
      </c>
      <c r="H288" s="145">
        <f>-Without_54_57_with_57_60_stroke_value</f>
        <v>7.1456000167730762</v>
      </c>
      <c r="I288" s="145">
        <v>0</v>
      </c>
      <c r="J288" s="145">
        <f>-(HLOOKUP(Noise_3dB_bands,Stroke_values_3dB_table,2,0))</f>
        <v>-7.1997140664291237</v>
      </c>
      <c r="K288" s="145">
        <f>-(HLOOKUP(Noise_3dB_bands,Stroke_values_3dB_table,2,0))+Without_57_60_with_60_63_stroke_value</f>
        <v>-14.454006121855674</v>
      </c>
      <c r="L288" s="145">
        <f>-(HLOOKUP(Noise_3dB_bands,Stroke_values_3dB_table,2,0))+Without_57_60_with_63_66_stroke_value</f>
        <v>-21.763344623241075</v>
      </c>
      <c r="M288" s="145">
        <f>-(HLOOKUP(Noise_3dB_bands,Stroke_values_3dB_table,2,0))+Without_57_60_with_66_69_stroke_value</f>
        <v>-29.128202594445213</v>
      </c>
      <c r="N288" s="145">
        <f>-(HLOOKUP(Noise_3dB_bands,Stroke_values_3dB_table,2,0))+Without_57_60_with_69_72_stroke_value</f>
        <v>-36.549057676092986</v>
      </c>
      <c r="O288" s="145">
        <f>-(HLOOKUP(Noise_3dB_bands,Stroke_values_3dB_table,2,0))+Without_57_60_with_72_75_stroke_value</f>
        <v>-44.023231924660365</v>
      </c>
      <c r="P288" s="145">
        <f>-(HLOOKUP(Noise_3dB_bands,Stroke_values_3dB_table,2,0))+Without_57_60_with_75_78_stroke_value</f>
        <v>-51.510002040322235</v>
      </c>
      <c r="Q288" s="145">
        <f>-(HLOOKUP(Noise_3dB_bands,Stroke_values_3dB_table,2,0))+Without_57_60_with_78_81_stroke_value</f>
        <v>-58.996772155984104</v>
      </c>
      <c r="R288" s="26" t="s">
        <v>172</v>
      </c>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row>
    <row r="289" spans="1:96" s="25" customFormat="1" ht="15" hidden="1" customHeight="1" outlineLevel="1" x14ac:dyDescent="0.25">
      <c r="A289" s="27"/>
      <c r="B289" s="135" t="s">
        <v>22</v>
      </c>
      <c r="C289" s="152"/>
      <c r="D289" s="145">
        <f>-Without_45_with_60_63_stroke_value</f>
        <v>34.302041207245338</v>
      </c>
      <c r="E289" s="145">
        <f>-Without_45_48_with_60_63_stroke_value</f>
        <v>34.302041207245338</v>
      </c>
      <c r="F289" s="145">
        <f>-Without_48_51_with_60_63_stroke_value</f>
        <v>28.476005428664084</v>
      </c>
      <c r="G289" s="145">
        <f>-Without_51_54_with_60_63_stroke_value</f>
        <v>21.437259520739204</v>
      </c>
      <c r="H289" s="145">
        <f>-Without_54_57_with_60_63_stroke_value</f>
        <v>14.345314083202201</v>
      </c>
      <c r="I289" s="145">
        <f>-Without_57_60_with_60_63_stroke_value</f>
        <v>7.1997140664291237</v>
      </c>
      <c r="J289" s="145">
        <v>0</v>
      </c>
      <c r="K289" s="145">
        <f>-(HLOOKUP(Noise_3dB_bands,Stroke_values_3dB_table,2,0))</f>
        <v>-7.2542920554265509</v>
      </c>
      <c r="L289" s="145">
        <f>-(HLOOKUP(Noise_3dB_bands,Stroke_values_3dB_table,2,0))+Without_60_63_with_63_66_stroke_value</f>
        <v>-14.563630556811955</v>
      </c>
      <c r="M289" s="145">
        <f>-(HLOOKUP(Noise_3dB_bands,Stroke_values_3dB_table,2,0))+Without_60_63_with_66_69_stroke_value</f>
        <v>-21.928488528016093</v>
      </c>
      <c r="N289" s="145">
        <f>-(HLOOKUP(Noise_3dB_bands,Stroke_values_3dB_table,2,0))+Without_60_63_with_69_72_stroke_value</f>
        <v>-29.349343609663865</v>
      </c>
      <c r="O289" s="145">
        <f>-(HLOOKUP(Noise_3dB_bands,Stroke_values_3dB_table,2,0))+Without_60_63_with_72_75_stroke_value</f>
        <v>-36.823517858231249</v>
      </c>
      <c r="P289" s="145">
        <f>-(HLOOKUP(Noise_3dB_bands,Stroke_values_3dB_table,2,0))+Without_60_63_with_75_78_stroke_value</f>
        <v>-44.310287973893118</v>
      </c>
      <c r="Q289" s="145">
        <f>-(HLOOKUP(Noise_3dB_bands,Stroke_values_3dB_table,2,0))+Without_60_63_with_78_81_stroke_value</f>
        <v>-51.797058089554987</v>
      </c>
      <c r="R289" s="26" t="s">
        <v>173</v>
      </c>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row>
    <row r="290" spans="1:96" s="25" customFormat="1" ht="15" hidden="1" customHeight="1" outlineLevel="1" x14ac:dyDescent="0.25">
      <c r="A290" s="27"/>
      <c r="B290" s="135" t="s">
        <v>23</v>
      </c>
      <c r="C290" s="152"/>
      <c r="D290" s="145">
        <f>-Without_45_with_63_66_stroke_value</f>
        <v>41.556333262671892</v>
      </c>
      <c r="E290" s="145">
        <f>-Without_45_48_with_63_66_stroke_value</f>
        <v>41.556333262671892</v>
      </c>
      <c r="F290" s="145">
        <f>-Without_48_51_with_63_66_stroke_value</f>
        <v>35.730297484090634</v>
      </c>
      <c r="G290" s="145">
        <f>-Without_51_54_with_63_66_stroke_value</f>
        <v>28.691551576165754</v>
      </c>
      <c r="H290" s="145">
        <f>-Without_54_57_with_63_66_stroke_value</f>
        <v>21.599606138628751</v>
      </c>
      <c r="I290" s="145">
        <f>-Without_57_60_with_63_66_stroke_value</f>
        <v>14.454006121855674</v>
      </c>
      <c r="J290" s="145">
        <f>-Without_60_63_with_63_66_stroke_value</f>
        <v>7.2542920554265509</v>
      </c>
      <c r="K290" s="145">
        <v>0</v>
      </c>
      <c r="L290" s="145">
        <f>-(HLOOKUP(Noise_3dB_bands,Stroke_values_3dB_table,2,0))</f>
        <v>-7.3093385013854029</v>
      </c>
      <c r="M290" s="145">
        <f>-(HLOOKUP(Noise_3dB_bands,Stroke_values_3dB_table,2,0))+Without_63_66_with_66_69_stroke_value</f>
        <v>-14.674196472589543</v>
      </c>
      <c r="N290" s="145">
        <f>-(HLOOKUP(Noise_3dB_bands,Stroke_values_3dB_table,2,0))+Without_63_66_with_69_72_stroke_value</f>
        <v>-22.095051554237315</v>
      </c>
      <c r="O290" s="145">
        <f>-(HLOOKUP(Noise_3dB_bands,Stroke_values_3dB_table,2,0))+Without_63_66_with_72_75_stroke_value</f>
        <v>-29.569225802804695</v>
      </c>
      <c r="P290" s="145">
        <f>-(HLOOKUP(Noise_3dB_bands,Stroke_values_3dB_table,2,0))+Without_63_66_with_75_78_stroke_value</f>
        <v>-37.055995918466564</v>
      </c>
      <c r="Q290" s="145">
        <f>-(HLOOKUP(Noise_3dB_bands,Stroke_values_3dB_table,2,0))+Without_63_66_with_78_81_stroke_value</f>
        <v>-44.542766034128434</v>
      </c>
      <c r="R290" s="26" t="s">
        <v>174</v>
      </c>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row>
    <row r="291" spans="1:96" s="8" customFormat="1" ht="15" hidden="1" customHeight="1" outlineLevel="1" x14ac:dyDescent="0.25">
      <c r="A291" s="89"/>
      <c r="B291" s="135" t="s">
        <v>24</v>
      </c>
      <c r="C291" s="152"/>
      <c r="D291" s="145">
        <f>-Without_45_with_66_69_stroke_value</f>
        <v>48.865671764057296</v>
      </c>
      <c r="E291" s="145">
        <f>-Without_45_48_with_66_69_stroke_value</f>
        <v>48.865671764057296</v>
      </c>
      <c r="F291" s="145">
        <f>-Without_48_51_with_66_69_stroke_value</f>
        <v>43.039635985476039</v>
      </c>
      <c r="G291" s="145">
        <f>-Without_51_54_with_66_69_stroke_value</f>
        <v>36.000890077551155</v>
      </c>
      <c r="H291" s="145">
        <f>-Without_54_57_with_66_69_stroke_value</f>
        <v>28.908944640014155</v>
      </c>
      <c r="I291" s="145">
        <f>-Without_57_60_with_66_69_stroke_value</f>
        <v>21.763344623241075</v>
      </c>
      <c r="J291" s="145">
        <f>-Without_60_63_with_66_69_stroke_value</f>
        <v>14.563630556811955</v>
      </c>
      <c r="K291" s="145">
        <f>-Without_63_66_with_66_69_stroke_value</f>
        <v>7.3093385013854029</v>
      </c>
      <c r="L291" s="145">
        <v>0</v>
      </c>
      <c r="M291" s="145">
        <f>-(HLOOKUP(Noise_3dB_bands,Stroke_values_3dB_table,2,0))</f>
        <v>-7.3648579712041391</v>
      </c>
      <c r="N291" s="145">
        <f>-(HLOOKUP(Noise_3dB_bands,Stroke_values_3dB_table,2,0))+Without_66_69_with_69_72_stroke_value</f>
        <v>-14.785713052851911</v>
      </c>
      <c r="O291" s="145">
        <f>-(HLOOKUP(Noise_3dB_bands,Stroke_values_3dB_table,2,0))+Without_66_69_with_72_75_stroke_value</f>
        <v>-22.25988730141929</v>
      </c>
      <c r="P291" s="145">
        <f>-(HLOOKUP(Noise_3dB_bands,Stroke_values_3dB_table,2,0))+Without_66_69_with_75_78_stroke_value</f>
        <v>-29.74665741708116</v>
      </c>
      <c r="Q291" s="145">
        <f>-(HLOOKUP(Noise_3dB_bands,Stroke_values_3dB_table,2,0))+Without_66_69_with_78_81_stroke_value</f>
        <v>-37.233427532743029</v>
      </c>
      <c r="R291" s="26" t="s">
        <v>175</v>
      </c>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89"/>
      <c r="CD291" s="89"/>
      <c r="CE291" s="89"/>
      <c r="CF291" s="89"/>
      <c r="CG291" s="89"/>
      <c r="CH291" s="89"/>
      <c r="CI291" s="89"/>
      <c r="CJ291" s="89"/>
      <c r="CK291" s="89"/>
      <c r="CL291" s="89"/>
      <c r="CM291" s="89"/>
      <c r="CN291" s="89"/>
      <c r="CO291" s="89"/>
      <c r="CP291" s="89"/>
      <c r="CQ291" s="89"/>
    </row>
    <row r="292" spans="1:96" s="8" customFormat="1" ht="15" hidden="1" customHeight="1" outlineLevel="1" x14ac:dyDescent="0.25">
      <c r="A292" s="89"/>
      <c r="B292" s="135" t="s">
        <v>25</v>
      </c>
      <c r="C292" s="152"/>
      <c r="D292" s="145">
        <f>-Without_45_with_69_72_stroke_value</f>
        <v>56.230529735261435</v>
      </c>
      <c r="E292" s="145">
        <f>-Without_45_48_with_69_72_stroke_value</f>
        <v>56.230529735261435</v>
      </c>
      <c r="F292" s="145">
        <f>-Without_48_51_with_69_72_stroke_value</f>
        <v>50.404493956680177</v>
      </c>
      <c r="G292" s="145">
        <f>-Without_51_54_with_69_72_stroke_value</f>
        <v>43.365748048755293</v>
      </c>
      <c r="H292" s="145">
        <f>-Without_54_57_with_69_72_stroke_value</f>
        <v>36.273802611218294</v>
      </c>
      <c r="I292" s="145">
        <f>-Without_57_60_with_69_72_stroke_value</f>
        <v>29.128202594445213</v>
      </c>
      <c r="J292" s="145">
        <f>-Without_60_63_with_69_72_stroke_value</f>
        <v>21.928488528016093</v>
      </c>
      <c r="K292" s="145">
        <f>-Without_63_66_with_69_72_stroke_value</f>
        <v>14.674196472589543</v>
      </c>
      <c r="L292" s="145">
        <f>-Without_66_69_with_69_72_stroke_value</f>
        <v>7.3648579712041391</v>
      </c>
      <c r="M292" s="145">
        <v>0</v>
      </c>
      <c r="N292" s="145">
        <f>-(HLOOKUP(Noise_3dB_bands,Stroke_values_3dB_table,2,0))</f>
        <v>-7.4208550816477725</v>
      </c>
      <c r="O292" s="145">
        <f>-(HLOOKUP(Noise_3dB_bands,Stroke_values_3dB_table,2,0))+Without_69_72_with_72_75_stroke_value</f>
        <v>-14.895029330215154</v>
      </c>
      <c r="P292" s="145">
        <f>-(HLOOKUP(Noise_3dB_bands,Stroke_values_3dB_table,2,0))+Without_69_72_with_75_78_stroke_value</f>
        <v>-22.381799445877022</v>
      </c>
      <c r="Q292" s="145">
        <f>-(HLOOKUP(Noise_3dB_bands,Stroke_values_3dB_table,2,0))+Without_69_72_with_78_81_stroke_value</f>
        <v>-29.868569561538891</v>
      </c>
      <c r="R292" s="26" t="s">
        <v>176</v>
      </c>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89"/>
      <c r="CD292" s="89"/>
      <c r="CE292" s="89"/>
      <c r="CF292" s="89"/>
      <c r="CG292" s="89"/>
      <c r="CH292" s="89"/>
      <c r="CI292" s="89"/>
      <c r="CJ292" s="89"/>
      <c r="CK292" s="89"/>
      <c r="CL292" s="89"/>
      <c r="CM292" s="89"/>
      <c r="CN292" s="89"/>
      <c r="CO292" s="89"/>
      <c r="CP292" s="89"/>
      <c r="CQ292" s="89"/>
    </row>
    <row r="293" spans="1:96" s="8" customFormat="1" ht="15" hidden="1" customHeight="1" outlineLevel="1" x14ac:dyDescent="0.25">
      <c r="A293" s="89"/>
      <c r="B293" s="135" t="s">
        <v>26</v>
      </c>
      <c r="C293" s="152"/>
      <c r="D293" s="145">
        <f>-Without_45_with_72_75_stroke_value</f>
        <v>63.651384816909207</v>
      </c>
      <c r="E293" s="145">
        <f>-Without_45_48_with_72_75_stroke_value</f>
        <v>63.651384816909207</v>
      </c>
      <c r="F293" s="145">
        <f>-Without_48_51_with_72_75_stroke_value</f>
        <v>57.82534903832795</v>
      </c>
      <c r="G293" s="145">
        <f>-Without_51_54_with_72_75_stroke_value</f>
        <v>50.786603130403066</v>
      </c>
      <c r="H293" s="145">
        <f>-Without_54_57_with_72_75_stroke_value</f>
        <v>43.694657692866066</v>
      </c>
      <c r="I293" s="145">
        <f>-Without_57_60_with_72_75_stroke_value</f>
        <v>36.549057676092986</v>
      </c>
      <c r="J293" s="145">
        <f>-Without_60_63_with_72_75_stroke_value</f>
        <v>29.349343609663865</v>
      </c>
      <c r="K293" s="145">
        <f>-Without_63_66_with_72_75_stroke_value</f>
        <v>22.095051554237315</v>
      </c>
      <c r="L293" s="145">
        <f>-Without_66_69_with_72_75_stroke_value</f>
        <v>14.785713052851911</v>
      </c>
      <c r="M293" s="145">
        <f>-Without_69_72_with_72_75_stroke_value</f>
        <v>7.4208550816477725</v>
      </c>
      <c r="N293" s="145">
        <v>0</v>
      </c>
      <c r="O293" s="145">
        <f>-(HLOOKUP(Noise_3dB_bands,Stroke_values_3dB_table,2,0))</f>
        <v>-7.4741742485673814</v>
      </c>
      <c r="P293" s="145">
        <f>-(HLOOKUP(Noise_3dB_bands,Stroke_values_3dB_table,2,0))+Without_72_75_with_75_78_stroke_value</f>
        <v>-14.960944364229251</v>
      </c>
      <c r="Q293" s="145">
        <f>-(HLOOKUP(Noise_3dB_bands,Stroke_values_3dB_table,2,0))+Without_72_75_with_78_81_stroke_value</f>
        <v>-22.447714479891122</v>
      </c>
      <c r="R293" s="26" t="s">
        <v>177</v>
      </c>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row>
    <row r="294" spans="1:96" s="8" customFormat="1" ht="15" hidden="1" customHeight="1" outlineLevel="1" x14ac:dyDescent="0.25">
      <c r="A294" s="89"/>
      <c r="B294" s="135" t="s">
        <v>27</v>
      </c>
      <c r="C294" s="152"/>
      <c r="D294" s="145">
        <f>-Without_45_with_75_78_stroke_value</f>
        <v>71.125559065476594</v>
      </c>
      <c r="E294" s="145">
        <f>-Without_45_48_with_75_78_stroke_value</f>
        <v>71.125559065476594</v>
      </c>
      <c r="F294" s="145">
        <f>-Without_48_51_with_75_78_stroke_value</f>
        <v>65.299523286895337</v>
      </c>
      <c r="G294" s="145">
        <f>-Without_51_54_with_75_78_stroke_value</f>
        <v>58.260777378970445</v>
      </c>
      <c r="H294" s="145">
        <f>-Without_54_57_with_75_78_stroke_value</f>
        <v>51.168831941433446</v>
      </c>
      <c r="I294" s="145">
        <f>-Without_57_60_with_75_78_stroke_value</f>
        <v>44.023231924660365</v>
      </c>
      <c r="J294" s="145">
        <f>-Without_60_63_with_75_78_stroke_value</f>
        <v>36.823517858231249</v>
      </c>
      <c r="K294" s="145">
        <f>-Without_63_66_with_75_78_stroke_value</f>
        <v>29.569225802804695</v>
      </c>
      <c r="L294" s="145">
        <f>-Without_66_69_with_75_78_stroke_value</f>
        <v>22.25988730141929</v>
      </c>
      <c r="M294" s="145">
        <f>-Without_69_72_with_75_78_stroke_value</f>
        <v>14.895029330215154</v>
      </c>
      <c r="N294" s="145">
        <f>-Without_72_75_with_75_78_stroke_value</f>
        <v>7.4741742485673814</v>
      </c>
      <c r="O294" s="145">
        <v>0</v>
      </c>
      <c r="P294" s="145">
        <f>-(HLOOKUP(Noise_3dB_bands,Stroke_values_3dB_table,2,0))</f>
        <v>-7.4867701156618693</v>
      </c>
      <c r="Q294" s="145">
        <f>-(HLOOKUP(Noise_3dB_bands,Stroke_values_3dB_table,2,0))+Without_75_78_with_78_81_stroke_value</f>
        <v>-14.97354023132374</v>
      </c>
      <c r="R294" s="26" t="s">
        <v>178</v>
      </c>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89"/>
      <c r="CD294" s="89"/>
      <c r="CE294" s="89"/>
      <c r="CF294" s="89"/>
      <c r="CG294" s="89"/>
      <c r="CH294" s="89"/>
      <c r="CI294" s="89"/>
      <c r="CJ294" s="89"/>
      <c r="CK294" s="89"/>
      <c r="CL294" s="89"/>
      <c r="CM294" s="89"/>
      <c r="CN294" s="89"/>
      <c r="CO294" s="89"/>
      <c r="CP294" s="89"/>
      <c r="CQ294" s="89"/>
      <c r="CR294" s="28"/>
    </row>
    <row r="295" spans="1:96" s="8" customFormat="1" ht="15" hidden="1" customHeight="1" outlineLevel="1" x14ac:dyDescent="0.25">
      <c r="A295" s="89"/>
      <c r="B295" s="135" t="s">
        <v>28</v>
      </c>
      <c r="C295" s="152"/>
      <c r="D295" s="145">
        <f>-Without_45_with_78_81_stroke_value</f>
        <v>78.612329181138463</v>
      </c>
      <c r="E295" s="145">
        <f>-Without_45_48_with_78_81_stroke_value</f>
        <v>78.612329181138463</v>
      </c>
      <c r="F295" s="145">
        <f>-Without_48_51_with_78_81_stroke_value</f>
        <v>72.786293402557206</v>
      </c>
      <c r="G295" s="145">
        <f>-Without_51_54_with_78_81_stroke_value</f>
        <v>65.747547494632315</v>
      </c>
      <c r="H295" s="145">
        <f>-Without_54_57_with_78_81_stroke_value</f>
        <v>58.655602057095315</v>
      </c>
      <c r="I295" s="145">
        <f>-Without_57_60_with_78_81_stroke_value</f>
        <v>51.510002040322235</v>
      </c>
      <c r="J295" s="145">
        <f>-Without_60_63_with_78_81_stroke_value</f>
        <v>44.310287973893118</v>
      </c>
      <c r="K295" s="145">
        <f>-Without_63_66_with_78_81_stroke_value</f>
        <v>37.055995918466564</v>
      </c>
      <c r="L295" s="145">
        <f>-Without_66_69_with_78_81_stroke_value</f>
        <v>29.74665741708116</v>
      </c>
      <c r="M295" s="145">
        <f>-Without_69_72_with_78_81_stroke_value</f>
        <v>22.381799445877022</v>
      </c>
      <c r="N295" s="145">
        <f>-Without_72_75_with_78_81_stroke_value</f>
        <v>14.960944364229251</v>
      </c>
      <c r="O295" s="145">
        <f>-Without_75_78_with_78_81_stroke_value</f>
        <v>7.4867701156618693</v>
      </c>
      <c r="P295" s="145">
        <v>0</v>
      </c>
      <c r="Q295" s="145">
        <f>-(HLOOKUP(Noise_3dB_bands,Stroke_values_3dB_table,2,0))</f>
        <v>-7.4867701156618711</v>
      </c>
      <c r="R295" s="26" t="s">
        <v>179</v>
      </c>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89"/>
      <c r="CD295" s="89"/>
      <c r="CE295" s="89"/>
      <c r="CF295" s="89"/>
      <c r="CG295" s="89"/>
      <c r="CH295" s="89"/>
      <c r="CI295" s="89"/>
      <c r="CJ295" s="89"/>
      <c r="CK295" s="89"/>
      <c r="CL295" s="89"/>
      <c r="CM295" s="89"/>
      <c r="CN295" s="89"/>
      <c r="CO295" s="89"/>
      <c r="CP295" s="89"/>
      <c r="CQ295" s="28"/>
    </row>
    <row r="296" spans="1:96" s="8" customFormat="1" ht="15" hidden="1" customHeight="1" outlineLevel="1" x14ac:dyDescent="0.25">
      <c r="A296" s="89"/>
      <c r="B296" s="135" t="s">
        <v>29</v>
      </c>
      <c r="C296" s="153"/>
      <c r="D296" s="145">
        <f>-Without_45_with_81_stroke_value</f>
        <v>86.099099296800333</v>
      </c>
      <c r="E296" s="145">
        <f>-Without_45_48_with_81_stroke_value</f>
        <v>86.099099296800333</v>
      </c>
      <c r="F296" s="145">
        <f>-Without_48_51_with_81_stroke_value</f>
        <v>80.273063518219075</v>
      </c>
      <c r="G296" s="145">
        <f>-Without_51_54_with_81_stroke_value</f>
        <v>73.234317610294184</v>
      </c>
      <c r="H296" s="145">
        <f>-Without_54_57_with_81_stroke_value</f>
        <v>66.142372172757192</v>
      </c>
      <c r="I296" s="145">
        <f>-Without_57_60_with_81_stroke_value</f>
        <v>58.996772155984104</v>
      </c>
      <c r="J296" s="145">
        <f>-Without_60_63_with_81_stroke_value</f>
        <v>51.797058089554987</v>
      </c>
      <c r="K296" s="145">
        <f>-Without_63_66_with_81_stroke_value</f>
        <v>44.542766034128434</v>
      </c>
      <c r="L296" s="145">
        <f>-Without_66_69_with_81_stroke_value</f>
        <v>37.233427532743029</v>
      </c>
      <c r="M296" s="145">
        <f>-Without_69_72_with_81_stroke_value</f>
        <v>29.868569561538891</v>
      </c>
      <c r="N296" s="145">
        <f>-Without_72_75_with_81_stroke_value</f>
        <v>22.447714479891122</v>
      </c>
      <c r="O296" s="145">
        <f>-Without_75_78_with_81_stroke_value</f>
        <v>14.97354023132374</v>
      </c>
      <c r="P296" s="145">
        <f>-Without_78_81_with_81_stroke_value</f>
        <v>7.4867701156618711</v>
      </c>
      <c r="Q296" s="145">
        <v>0</v>
      </c>
      <c r="R296" s="26" t="s">
        <v>180</v>
      </c>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89"/>
      <c r="CD296" s="89"/>
      <c r="CE296" s="89"/>
      <c r="CF296" s="89"/>
      <c r="CG296" s="89"/>
      <c r="CH296" s="89"/>
      <c r="CI296" s="89"/>
      <c r="CJ296" s="89"/>
      <c r="CK296" s="89"/>
      <c r="CL296" s="89"/>
      <c r="CM296" s="89"/>
      <c r="CN296" s="89"/>
      <c r="CO296" s="89"/>
      <c r="CP296" s="89"/>
      <c r="CQ296" s="28"/>
    </row>
    <row r="297" spans="1:96" s="10" customFormat="1" ht="15" hidden="1" outlineLevel="1" x14ac:dyDescent="0.25">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89"/>
      <c r="CD297" s="89"/>
      <c r="CE297" s="89"/>
      <c r="CF297" s="89"/>
      <c r="CG297" s="89"/>
      <c r="CH297" s="89"/>
      <c r="CI297" s="89"/>
      <c r="CJ297" s="89"/>
      <c r="CK297" s="89"/>
      <c r="CL297" s="89"/>
      <c r="CM297" s="89"/>
      <c r="CN297" s="89"/>
      <c r="CO297" s="89"/>
      <c r="CP297" s="89"/>
      <c r="CQ297" s="89"/>
    </row>
    <row r="298" spans="1:96" s="5" customFormat="1" ht="15" hidden="1" customHeight="1" outlineLevel="1" x14ac:dyDescent="0.25">
      <c r="B298" s="5" t="s">
        <v>69</v>
      </c>
    </row>
    <row r="299" spans="1:96" ht="15" hidden="1" customHeight="1" outlineLevel="1" x14ac:dyDescent="0.25">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c r="BW299" s="131"/>
      <c r="BX299" s="131"/>
      <c r="BY299" s="131"/>
      <c r="BZ299" s="131"/>
      <c r="CA299" s="131"/>
      <c r="CB299" s="131"/>
      <c r="CC299" s="131"/>
      <c r="CD299" s="131"/>
      <c r="CE299" s="131"/>
      <c r="CF299" s="131"/>
      <c r="CG299" s="131"/>
      <c r="CH299" s="131"/>
      <c r="CI299" s="131"/>
      <c r="CJ299" s="131"/>
      <c r="CK299" s="131"/>
      <c r="CL299" s="131"/>
      <c r="CM299" s="131"/>
      <c r="CN299" s="131"/>
      <c r="CO299" s="131"/>
      <c r="CP299" s="131"/>
      <c r="CQ299" s="131"/>
    </row>
    <row r="300" spans="1:96" ht="15" hidden="1" customHeight="1" outlineLevel="2" x14ac:dyDescent="0.25">
      <c r="A300" s="131"/>
      <c r="B300" s="191" t="s">
        <v>63</v>
      </c>
      <c r="C300" s="131"/>
      <c r="D300" s="17" t="s">
        <v>64</v>
      </c>
      <c r="E300" s="18">
        <v>45</v>
      </c>
      <c r="F300" s="19">
        <v>46</v>
      </c>
      <c r="G300" s="18">
        <v>47</v>
      </c>
      <c r="H300" s="19">
        <v>48</v>
      </c>
      <c r="I300" s="18">
        <v>49</v>
      </c>
      <c r="J300" s="19">
        <v>50</v>
      </c>
      <c r="K300" s="18">
        <v>51</v>
      </c>
      <c r="L300" s="19">
        <v>52</v>
      </c>
      <c r="M300" s="18">
        <v>53</v>
      </c>
      <c r="N300" s="19">
        <v>54</v>
      </c>
      <c r="O300" s="18">
        <v>55</v>
      </c>
      <c r="P300" s="19">
        <v>56</v>
      </c>
      <c r="Q300" s="18">
        <v>57</v>
      </c>
      <c r="R300" s="19">
        <v>58</v>
      </c>
      <c r="S300" s="18">
        <v>59</v>
      </c>
      <c r="T300" s="19">
        <v>60</v>
      </c>
      <c r="U300" s="18">
        <v>61</v>
      </c>
      <c r="V300" s="19">
        <v>62</v>
      </c>
      <c r="W300" s="18">
        <v>63</v>
      </c>
      <c r="X300" s="19">
        <v>64</v>
      </c>
      <c r="Y300" s="18">
        <v>65</v>
      </c>
      <c r="Z300" s="19">
        <v>66</v>
      </c>
      <c r="AA300" s="18">
        <v>67</v>
      </c>
      <c r="AB300" s="19">
        <v>68</v>
      </c>
      <c r="AC300" s="18">
        <v>69</v>
      </c>
      <c r="AD300" s="19">
        <v>70</v>
      </c>
      <c r="AE300" s="18">
        <v>71</v>
      </c>
      <c r="AF300" s="19">
        <v>72</v>
      </c>
      <c r="AG300" s="18">
        <v>73</v>
      </c>
      <c r="AH300" s="19">
        <v>74</v>
      </c>
      <c r="AI300" s="18">
        <v>75</v>
      </c>
      <c r="AJ300" s="19">
        <v>76</v>
      </c>
      <c r="AK300" s="18">
        <v>77</v>
      </c>
      <c r="AL300" s="19">
        <v>78</v>
      </c>
      <c r="AM300" s="18">
        <v>79</v>
      </c>
      <c r="AN300" s="19">
        <v>80</v>
      </c>
      <c r="AO300" s="18">
        <v>81</v>
      </c>
      <c r="AP300" s="19">
        <v>82</v>
      </c>
      <c r="AQ300" s="18">
        <v>83</v>
      </c>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c r="BW300" s="131"/>
      <c r="BX300" s="131"/>
      <c r="BY300" s="131"/>
      <c r="BZ300" s="131"/>
      <c r="CA300" s="131"/>
      <c r="CB300" s="131"/>
      <c r="CC300" s="131"/>
      <c r="CD300" s="131"/>
      <c r="CE300" s="131"/>
      <c r="CF300" s="131"/>
      <c r="CG300" s="131"/>
      <c r="CH300" s="131"/>
      <c r="CI300" s="131"/>
      <c r="CJ300" s="131"/>
      <c r="CK300" s="131"/>
      <c r="CL300" s="131"/>
      <c r="CM300" s="131"/>
      <c r="CN300" s="131"/>
      <c r="CO300" s="131"/>
      <c r="CP300" s="131"/>
      <c r="CQ300" s="131"/>
    </row>
    <row r="301" spans="1:96" ht="15" hidden="1" customHeight="1" outlineLevel="2" x14ac:dyDescent="0.25">
      <c r="A301" s="131"/>
      <c r="B301" s="191"/>
      <c r="C301" s="147" t="s">
        <v>486</v>
      </c>
      <c r="D301" s="17">
        <v>45</v>
      </c>
      <c r="E301" s="18">
        <v>46</v>
      </c>
      <c r="F301" s="17">
        <v>47</v>
      </c>
      <c r="G301" s="18">
        <v>48</v>
      </c>
      <c r="H301" s="17">
        <v>49</v>
      </c>
      <c r="I301" s="18">
        <v>50</v>
      </c>
      <c r="J301" s="17">
        <v>51</v>
      </c>
      <c r="K301" s="18">
        <v>52</v>
      </c>
      <c r="L301" s="17">
        <v>53</v>
      </c>
      <c r="M301" s="18">
        <v>54</v>
      </c>
      <c r="N301" s="17">
        <v>55</v>
      </c>
      <c r="O301" s="18">
        <v>56</v>
      </c>
      <c r="P301" s="17">
        <v>57</v>
      </c>
      <c r="Q301" s="18">
        <v>58</v>
      </c>
      <c r="R301" s="17">
        <v>59</v>
      </c>
      <c r="S301" s="18">
        <v>60</v>
      </c>
      <c r="T301" s="17">
        <v>61</v>
      </c>
      <c r="U301" s="18">
        <v>62</v>
      </c>
      <c r="V301" s="17">
        <v>63</v>
      </c>
      <c r="W301" s="18">
        <v>64</v>
      </c>
      <c r="X301" s="17">
        <v>65</v>
      </c>
      <c r="Y301" s="18">
        <v>66</v>
      </c>
      <c r="Z301" s="17">
        <v>67</v>
      </c>
      <c r="AA301" s="18">
        <v>68</v>
      </c>
      <c r="AB301" s="17">
        <v>69</v>
      </c>
      <c r="AC301" s="18">
        <v>70</v>
      </c>
      <c r="AD301" s="17">
        <v>71</v>
      </c>
      <c r="AE301" s="18">
        <v>72</v>
      </c>
      <c r="AF301" s="17">
        <v>73</v>
      </c>
      <c r="AG301" s="18">
        <v>74</v>
      </c>
      <c r="AH301" s="17">
        <v>75</v>
      </c>
      <c r="AI301" s="18">
        <v>76</v>
      </c>
      <c r="AJ301" s="17">
        <v>77</v>
      </c>
      <c r="AK301" s="18">
        <v>78</v>
      </c>
      <c r="AL301" s="17">
        <v>79</v>
      </c>
      <c r="AM301" s="18">
        <v>80</v>
      </c>
      <c r="AN301" s="17">
        <v>81</v>
      </c>
      <c r="AO301" s="18">
        <v>82</v>
      </c>
      <c r="AP301" s="17">
        <v>83</v>
      </c>
      <c r="AQ301" s="18">
        <v>84</v>
      </c>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c r="BW301" s="131"/>
      <c r="BX301" s="131"/>
      <c r="BY301" s="131"/>
      <c r="BZ301" s="131"/>
      <c r="CA301" s="131"/>
      <c r="CB301" s="131"/>
      <c r="CC301" s="131"/>
      <c r="CD301" s="131"/>
      <c r="CE301" s="131"/>
      <c r="CF301" s="131"/>
      <c r="CG301" s="131"/>
      <c r="CH301" s="131"/>
      <c r="CI301" s="131"/>
      <c r="CJ301" s="131"/>
      <c r="CK301" s="131"/>
      <c r="CL301" s="131"/>
      <c r="CM301" s="131"/>
      <c r="CN301" s="131"/>
      <c r="CO301" s="131"/>
      <c r="CP301" s="131"/>
      <c r="CQ301" s="131"/>
    </row>
    <row r="302" spans="1:96" ht="15" hidden="1" customHeight="1" outlineLevel="2" x14ac:dyDescent="0.25">
      <c r="A302" s="131"/>
      <c r="B302" s="131" t="s">
        <v>594</v>
      </c>
      <c r="C302" s="131">
        <f>Road_mask</f>
        <v>1</v>
      </c>
      <c r="D302" s="148">
        <f t="shared" ref="D302:AQ302" si="18">Dementia_values_road_1db_in</f>
        <v>0</v>
      </c>
      <c r="E302" s="148">
        <f t="shared" si="18"/>
        <v>0</v>
      </c>
      <c r="F302" s="148">
        <f t="shared" si="18"/>
        <v>0</v>
      </c>
      <c r="G302" s="148">
        <f t="shared" si="18"/>
        <v>3.5247969391350451</v>
      </c>
      <c r="H302" s="148">
        <f t="shared" si="18"/>
        <v>3.5323165651015906</v>
      </c>
      <c r="I302" s="148">
        <f t="shared" si="18"/>
        <v>3.5398529170119266</v>
      </c>
      <c r="J302" s="148">
        <f t="shared" si="18"/>
        <v>3.5474060335686786</v>
      </c>
      <c r="K302" s="148">
        <f t="shared" si="18"/>
        <v>3.5549759535671015</v>
      </c>
      <c r="L302" s="148">
        <f t="shared" si="18"/>
        <v>3.5625627158955657</v>
      </c>
      <c r="M302" s="148">
        <f t="shared" si="18"/>
        <v>3.5701663595357442</v>
      </c>
      <c r="N302" s="148">
        <f t="shared" si="18"/>
        <v>3.5777869235628565</v>
      </c>
      <c r="O302" s="148">
        <f t="shared" si="18"/>
        <v>3.5854244471456127</v>
      </c>
      <c r="P302" s="148">
        <f t="shared" si="18"/>
        <v>3.5930789695473377</v>
      </c>
      <c r="Q302" s="148">
        <f t="shared" si="18"/>
        <v>3.6007505301247922</v>
      </c>
      <c r="R302" s="148">
        <f t="shared" si="18"/>
        <v>3.6084391683298116</v>
      </c>
      <c r="S302" s="148">
        <f t="shared" si="18"/>
        <v>3.6161449237086267</v>
      </c>
      <c r="T302" s="148">
        <f t="shared" si="18"/>
        <v>3.6238678359024621</v>
      </c>
      <c r="U302" s="148">
        <f t="shared" si="18"/>
        <v>3.6316079446477305</v>
      </c>
      <c r="V302" s="148">
        <f t="shared" si="18"/>
        <v>3.6393652897761455</v>
      </c>
      <c r="W302" s="148">
        <f t="shared" si="18"/>
        <v>3.6471399112151368</v>
      </c>
      <c r="X302" s="148">
        <f t="shared" si="18"/>
        <v>3.6549318489881442</v>
      </c>
      <c r="Y302" s="148">
        <f t="shared" si="18"/>
        <v>3.6627411432143404</v>
      </c>
      <c r="Z302" s="148">
        <f t="shared" si="18"/>
        <v>3.6705678341096757</v>
      </c>
      <c r="AA302" s="148">
        <f t="shared" si="18"/>
        <v>3.6784119619861659</v>
      </c>
      <c r="AB302" s="148">
        <f t="shared" si="18"/>
        <v>3.6862735672532803</v>
      </c>
      <c r="AC302" s="148">
        <f t="shared" si="18"/>
        <v>3.6941526904171957</v>
      </c>
      <c r="AD302" s="148">
        <f t="shared" si="18"/>
        <v>3.7020493720811571</v>
      </c>
      <c r="AE302" s="148">
        <f t="shared" si="18"/>
        <v>3.709963652946394</v>
      </c>
      <c r="AF302" s="148">
        <f t="shared" si="18"/>
        <v>3.7178955738118447</v>
      </c>
      <c r="AG302" s="148">
        <f t="shared" si="18"/>
        <v>3.7258451755742428</v>
      </c>
      <c r="AH302" s="148">
        <f t="shared" si="18"/>
        <v>3.7338124992289221</v>
      </c>
      <c r="AI302" s="148">
        <f t="shared" si="18"/>
        <v>3.7417975858690871</v>
      </c>
      <c r="AJ302" s="148">
        <f t="shared" si="18"/>
        <v>3.7417975858690871</v>
      </c>
      <c r="AK302" s="148">
        <f t="shared" si="18"/>
        <v>3.7417975858690871</v>
      </c>
      <c r="AL302" s="148">
        <f t="shared" si="18"/>
        <v>3.7417975858690871</v>
      </c>
      <c r="AM302" s="148">
        <f t="shared" si="18"/>
        <v>3.7417975858690871</v>
      </c>
      <c r="AN302" s="148">
        <f t="shared" si="18"/>
        <v>3.7417975858690871</v>
      </c>
      <c r="AO302" s="148">
        <f t="shared" si="18"/>
        <v>3.7417975858690871</v>
      </c>
      <c r="AP302" s="148">
        <f t="shared" si="18"/>
        <v>3.7417975858690902</v>
      </c>
      <c r="AQ302" s="148">
        <f t="shared" si="18"/>
        <v>3.7417975858690902</v>
      </c>
      <c r="AR302" s="3" t="s">
        <v>610</v>
      </c>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1"/>
      <c r="CH302" s="131"/>
      <c r="CI302" s="131"/>
      <c r="CJ302" s="131"/>
      <c r="CK302" s="131"/>
      <c r="CL302" s="131"/>
      <c r="CM302" s="131"/>
      <c r="CN302" s="131"/>
      <c r="CO302" s="131"/>
      <c r="CP302" s="131"/>
      <c r="CQ302" s="131"/>
    </row>
    <row r="303" spans="1:96" ht="15" hidden="1" customHeight="1" outlineLevel="2" x14ac:dyDescent="0.25">
      <c r="A303" s="131"/>
      <c r="B303" s="131" t="s">
        <v>596</v>
      </c>
      <c r="C303" s="149">
        <f>Rail_mask</f>
        <v>0</v>
      </c>
      <c r="D303" s="148">
        <f t="shared" ref="D303:AQ303" si="19">Dementia_values_rail_1db_in</f>
        <v>0</v>
      </c>
      <c r="E303" s="148">
        <f t="shared" si="19"/>
        <v>0</v>
      </c>
      <c r="F303" s="148">
        <f t="shared" si="19"/>
        <v>0</v>
      </c>
      <c r="G303" s="148">
        <f t="shared" si="19"/>
        <v>0</v>
      </c>
      <c r="H303" s="148">
        <f t="shared" si="19"/>
        <v>0</v>
      </c>
      <c r="I303" s="148">
        <f t="shared" si="19"/>
        <v>0</v>
      </c>
      <c r="J303" s="148">
        <f t="shared" si="19"/>
        <v>3.8387632039201098</v>
      </c>
      <c r="K303" s="148">
        <f t="shared" si="19"/>
        <v>3.8476663519311005</v>
      </c>
      <c r="L303" s="148">
        <f t="shared" si="19"/>
        <v>3.8565910292947732</v>
      </c>
      <c r="M303" s="148">
        <f t="shared" si="19"/>
        <v>3.8655372901702045</v>
      </c>
      <c r="N303" s="148">
        <f t="shared" si="19"/>
        <v>3.8745051888581128</v>
      </c>
      <c r="O303" s="148">
        <f t="shared" si="19"/>
        <v>3.8834947798005217</v>
      </c>
      <c r="P303" s="148">
        <f t="shared" si="19"/>
        <v>3.8925061175818523</v>
      </c>
      <c r="Q303" s="148">
        <f t="shared" si="19"/>
        <v>3.9015392569280145</v>
      </c>
      <c r="R303" s="148">
        <f t="shared" si="19"/>
        <v>3.9105942527089859</v>
      </c>
      <c r="S303" s="148">
        <f t="shared" si="19"/>
        <v>3.9196711599367871</v>
      </c>
      <c r="T303" s="148">
        <f t="shared" si="19"/>
        <v>3.9287700337676243</v>
      </c>
      <c r="U303" s="148">
        <f t="shared" si="19"/>
        <v>3.9378909295010613</v>
      </c>
      <c r="V303" s="148">
        <f t="shared" si="19"/>
        <v>3.9470339025816474</v>
      </c>
      <c r="W303" s="148">
        <f t="shared" si="19"/>
        <v>3.9561990085979239</v>
      </c>
      <c r="X303" s="148">
        <f t="shared" si="19"/>
        <v>3.9653863032841747</v>
      </c>
      <c r="Y303" s="148">
        <f t="shared" si="19"/>
        <v>3.9745958425196415</v>
      </c>
      <c r="Z303" s="148">
        <f t="shared" si="19"/>
        <v>3.9838276823297698</v>
      </c>
      <c r="AA303" s="148">
        <f t="shared" si="19"/>
        <v>3.9930818788857767</v>
      </c>
      <c r="AB303" s="148">
        <f t="shared" si="19"/>
        <v>4.0023584885065899</v>
      </c>
      <c r="AC303" s="148">
        <f t="shared" si="19"/>
        <v>4.0116575676567843</v>
      </c>
      <c r="AD303" s="148">
        <f t="shared" si="19"/>
        <v>4.0209791729493629</v>
      </c>
      <c r="AE303" s="148">
        <f t="shared" si="19"/>
        <v>4.0303233611449905</v>
      </c>
      <c r="AF303" s="148">
        <f t="shared" si="19"/>
        <v>4.0396901891522194</v>
      </c>
      <c r="AG303" s="148">
        <f t="shared" si="19"/>
        <v>4.049079714028796</v>
      </c>
      <c r="AH303" s="148">
        <f t="shared" si="19"/>
        <v>4.0584919929808674</v>
      </c>
      <c r="AI303" s="148">
        <f t="shared" si="19"/>
        <v>4.0679270833646752</v>
      </c>
      <c r="AJ303" s="148">
        <f t="shared" si="19"/>
        <v>4.0679270833646752</v>
      </c>
      <c r="AK303" s="148">
        <f t="shared" si="19"/>
        <v>4.0679270833646752</v>
      </c>
      <c r="AL303" s="148">
        <f t="shared" si="19"/>
        <v>4.0679270833646752</v>
      </c>
      <c r="AM303" s="148">
        <f t="shared" si="19"/>
        <v>4.0679270833646752</v>
      </c>
      <c r="AN303" s="148">
        <f t="shared" si="19"/>
        <v>4.0679270833646752</v>
      </c>
      <c r="AO303" s="148">
        <f t="shared" si="19"/>
        <v>4.0679270833646752</v>
      </c>
      <c r="AP303" s="148">
        <f t="shared" si="19"/>
        <v>4.0679270833646797</v>
      </c>
      <c r="AQ303" s="148">
        <f t="shared" si="19"/>
        <v>4.0679270833646797</v>
      </c>
      <c r="AR303" s="3" t="s">
        <v>611</v>
      </c>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c r="BQ303" s="131"/>
      <c r="BR303" s="131"/>
      <c r="BS303" s="131"/>
      <c r="BT303" s="131"/>
      <c r="BU303" s="131"/>
      <c r="BV303" s="131"/>
      <c r="BW303" s="131"/>
      <c r="BX303" s="131"/>
      <c r="BY303" s="131"/>
      <c r="BZ303" s="131"/>
      <c r="CA303" s="131"/>
      <c r="CB303" s="131"/>
      <c r="CC303" s="131"/>
      <c r="CD303" s="131"/>
      <c r="CE303" s="131"/>
      <c r="CF303" s="131"/>
      <c r="CG303" s="131"/>
      <c r="CH303" s="131"/>
      <c r="CI303" s="131"/>
      <c r="CJ303" s="131"/>
      <c r="CK303" s="131"/>
      <c r="CL303" s="131"/>
      <c r="CM303" s="131"/>
      <c r="CN303" s="131"/>
      <c r="CO303" s="131"/>
      <c r="CP303" s="131"/>
      <c r="CQ303" s="131"/>
    </row>
    <row r="304" spans="1:96" ht="15" hidden="1" customHeight="1" outlineLevel="2" x14ac:dyDescent="0.25">
      <c r="A304" s="131"/>
      <c r="B304" s="131" t="s">
        <v>598</v>
      </c>
      <c r="C304" s="149">
        <f>Aviation_mask</f>
        <v>0</v>
      </c>
      <c r="D304" s="148">
        <f t="shared" ref="D304:AQ304" si="20">Dementia_values_aviation_1db_in</f>
        <v>0</v>
      </c>
      <c r="E304" s="148">
        <f t="shared" si="20"/>
        <v>0</v>
      </c>
      <c r="F304" s="148">
        <f t="shared" si="20"/>
        <v>0</v>
      </c>
      <c r="G304" s="148">
        <f t="shared" si="20"/>
        <v>0</v>
      </c>
      <c r="H304" s="148">
        <f t="shared" si="20"/>
        <v>0</v>
      </c>
      <c r="I304" s="148">
        <f t="shared" si="20"/>
        <v>0</v>
      </c>
      <c r="J304" s="148">
        <f t="shared" si="20"/>
        <v>6.8295092110590918</v>
      </c>
      <c r="K304" s="148">
        <f t="shared" si="20"/>
        <v>6.8576648571181069</v>
      </c>
      <c r="L304" s="148">
        <f t="shared" si="20"/>
        <v>6.8859416297188805</v>
      </c>
      <c r="M304" s="148">
        <f t="shared" si="20"/>
        <v>6.9143400713521057</v>
      </c>
      <c r="N304" s="148">
        <f t="shared" si="20"/>
        <v>6.9428607270285703</v>
      </c>
      <c r="O304" s="148">
        <f t="shared" si="20"/>
        <v>6.9715041442919441</v>
      </c>
      <c r="P304" s="148">
        <f t="shared" si="20"/>
        <v>7.0002708732296428</v>
      </c>
      <c r="Q304" s="148">
        <f t="shared" si="20"/>
        <v>7.029161466485971</v>
      </c>
      <c r="R304" s="148">
        <f t="shared" si="20"/>
        <v>7.0581764792744153</v>
      </c>
      <c r="S304" s="148">
        <f t="shared" si="20"/>
        <v>7.0873164693898429</v>
      </c>
      <c r="T304" s="148">
        <f t="shared" si="20"/>
        <v>7.116581997220262</v>
      </c>
      <c r="U304" s="148">
        <f t="shared" si="20"/>
        <v>7.1459736257603899</v>
      </c>
      <c r="V304" s="148">
        <f t="shared" si="20"/>
        <v>7.1754919206231724</v>
      </c>
      <c r="W304" s="148">
        <f t="shared" si="20"/>
        <v>7.205137450053277</v>
      </c>
      <c r="X304" s="148">
        <f t="shared" si="20"/>
        <v>7.2349107849385375</v>
      </c>
      <c r="Y304" s="148">
        <f t="shared" si="20"/>
        <v>7.2648124988240514</v>
      </c>
      <c r="Z304" s="148">
        <f t="shared" si="20"/>
        <v>7.2948431679239158</v>
      </c>
      <c r="AA304" s="148">
        <f t="shared" si="20"/>
        <v>7.3250033711344971</v>
      </c>
      <c r="AB304" s="148">
        <f t="shared" si="20"/>
        <v>7.3552936900468913</v>
      </c>
      <c r="AC304" s="148">
        <f t="shared" si="20"/>
        <v>7.3857147089609692</v>
      </c>
      <c r="AD304" s="148">
        <f t="shared" si="20"/>
        <v>7.4162670148966727</v>
      </c>
      <c r="AE304" s="148">
        <f t="shared" si="20"/>
        <v>7.4469511976088283</v>
      </c>
      <c r="AF304" s="148">
        <f t="shared" si="20"/>
        <v>7.4777678495992497</v>
      </c>
      <c r="AG304" s="148">
        <f t="shared" si="20"/>
        <v>7.5087175661299161</v>
      </c>
      <c r="AH304" s="148">
        <f t="shared" si="20"/>
        <v>7.5398009452374213</v>
      </c>
      <c r="AI304" s="148">
        <f t="shared" si="20"/>
        <v>7.5710185877443292</v>
      </c>
      <c r="AJ304" s="148">
        <f t="shared" si="20"/>
        <v>7.5710185877443292</v>
      </c>
      <c r="AK304" s="148">
        <f t="shared" si="20"/>
        <v>7.5710185877443292</v>
      </c>
      <c r="AL304" s="148">
        <f t="shared" si="20"/>
        <v>7.5710185877443292</v>
      </c>
      <c r="AM304" s="148">
        <f t="shared" si="20"/>
        <v>7.5710185877443292</v>
      </c>
      <c r="AN304" s="148">
        <f t="shared" si="20"/>
        <v>7.5710185877443292</v>
      </c>
      <c r="AO304" s="148">
        <f t="shared" si="20"/>
        <v>7.5710185877443292</v>
      </c>
      <c r="AP304" s="148">
        <f t="shared" si="20"/>
        <v>7.5710185877443301</v>
      </c>
      <c r="AQ304" s="148">
        <f t="shared" si="20"/>
        <v>7.5710185877443301</v>
      </c>
      <c r="AR304" s="3" t="s">
        <v>612</v>
      </c>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c r="BQ304" s="131"/>
      <c r="BR304" s="131"/>
      <c r="BS304" s="131"/>
      <c r="BT304" s="131"/>
      <c r="BU304" s="131"/>
      <c r="BV304" s="131"/>
      <c r="BW304" s="131"/>
      <c r="BX304" s="131"/>
      <c r="BY304" s="131"/>
      <c r="BZ304" s="131"/>
      <c r="CA304" s="131"/>
      <c r="CB304" s="131"/>
      <c r="CC304" s="131"/>
      <c r="CD304" s="131"/>
      <c r="CE304" s="131"/>
      <c r="CF304" s="131"/>
      <c r="CG304" s="131"/>
      <c r="CH304" s="131"/>
      <c r="CI304" s="131"/>
      <c r="CJ304" s="131"/>
      <c r="CK304" s="131"/>
      <c r="CL304" s="131"/>
      <c r="CM304" s="131"/>
      <c r="CN304" s="131"/>
      <c r="CO304" s="131"/>
      <c r="CP304" s="131"/>
      <c r="CQ304" s="131"/>
    </row>
    <row r="305" spans="1:95" ht="15" hidden="1" customHeight="1" outlineLevel="2" x14ac:dyDescent="0.25">
      <c r="A305" s="131"/>
      <c r="B305" s="131"/>
      <c r="C305" s="149"/>
      <c r="D305" s="3"/>
      <c r="E305" s="3"/>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c r="BQ305" s="131"/>
      <c r="BR305" s="131"/>
      <c r="BS305" s="131"/>
      <c r="BT305" s="131"/>
      <c r="BU305" s="131"/>
      <c r="BV305" s="131"/>
      <c r="BW305" s="131"/>
      <c r="BX305" s="131"/>
      <c r="BY305" s="131"/>
      <c r="BZ305" s="131"/>
      <c r="CA305" s="131"/>
      <c r="CB305" s="131"/>
      <c r="CC305" s="131"/>
      <c r="CD305" s="131"/>
      <c r="CE305" s="131"/>
      <c r="CF305" s="131"/>
      <c r="CG305" s="131"/>
      <c r="CH305" s="131"/>
      <c r="CI305" s="131"/>
      <c r="CJ305" s="131"/>
      <c r="CK305" s="131"/>
      <c r="CL305" s="131"/>
      <c r="CM305" s="131"/>
      <c r="CN305" s="131"/>
      <c r="CO305" s="131"/>
      <c r="CP305" s="131"/>
      <c r="CQ305" s="131"/>
    </row>
    <row r="306" spans="1:95" ht="15" hidden="1" customHeight="1" outlineLevel="2" x14ac:dyDescent="0.25">
      <c r="A306" s="131"/>
      <c r="B306" s="191" t="s">
        <v>63</v>
      </c>
      <c r="C306" s="131"/>
      <c r="D306" s="17" t="s">
        <v>64</v>
      </c>
      <c r="E306" s="18">
        <v>45</v>
      </c>
      <c r="F306" s="19">
        <v>46</v>
      </c>
      <c r="G306" s="18">
        <v>47</v>
      </c>
      <c r="H306" s="19">
        <v>48</v>
      </c>
      <c r="I306" s="18">
        <v>49</v>
      </c>
      <c r="J306" s="19">
        <v>50</v>
      </c>
      <c r="K306" s="18">
        <v>51</v>
      </c>
      <c r="L306" s="19">
        <v>52</v>
      </c>
      <c r="M306" s="18">
        <v>53</v>
      </c>
      <c r="N306" s="19">
        <v>54</v>
      </c>
      <c r="O306" s="18">
        <v>55</v>
      </c>
      <c r="P306" s="19">
        <v>56</v>
      </c>
      <c r="Q306" s="18">
        <v>57</v>
      </c>
      <c r="R306" s="19">
        <v>58</v>
      </c>
      <c r="S306" s="18">
        <v>59</v>
      </c>
      <c r="T306" s="19">
        <v>60</v>
      </c>
      <c r="U306" s="18">
        <v>61</v>
      </c>
      <c r="V306" s="19">
        <v>62</v>
      </c>
      <c r="W306" s="18">
        <v>63</v>
      </c>
      <c r="X306" s="19">
        <v>64</v>
      </c>
      <c r="Y306" s="18">
        <v>65</v>
      </c>
      <c r="Z306" s="19">
        <v>66</v>
      </c>
      <c r="AA306" s="18">
        <v>67</v>
      </c>
      <c r="AB306" s="19">
        <v>68</v>
      </c>
      <c r="AC306" s="18">
        <v>69</v>
      </c>
      <c r="AD306" s="19">
        <v>70</v>
      </c>
      <c r="AE306" s="18">
        <v>71</v>
      </c>
      <c r="AF306" s="19">
        <v>72</v>
      </c>
      <c r="AG306" s="18">
        <v>73</v>
      </c>
      <c r="AH306" s="19">
        <v>74</v>
      </c>
      <c r="AI306" s="18">
        <v>75</v>
      </c>
      <c r="AJ306" s="19">
        <v>76</v>
      </c>
      <c r="AK306" s="18">
        <v>77</v>
      </c>
      <c r="AL306" s="19">
        <v>78</v>
      </c>
      <c r="AM306" s="18">
        <v>79</v>
      </c>
      <c r="AN306" s="19">
        <v>80</v>
      </c>
      <c r="AO306" s="18">
        <v>81</v>
      </c>
      <c r="AP306" s="19">
        <v>82</v>
      </c>
      <c r="AQ306" s="18">
        <v>83</v>
      </c>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c r="BQ306" s="131"/>
      <c r="BR306" s="131"/>
      <c r="BS306" s="131"/>
      <c r="BT306" s="131"/>
      <c r="BU306" s="131"/>
      <c r="BV306" s="131"/>
      <c r="BW306" s="131"/>
      <c r="BX306" s="131"/>
      <c r="BY306" s="131"/>
      <c r="BZ306" s="131"/>
      <c r="CA306" s="131"/>
      <c r="CB306" s="131"/>
      <c r="CC306" s="131"/>
      <c r="CD306" s="131"/>
      <c r="CE306" s="131"/>
      <c r="CF306" s="131"/>
      <c r="CG306" s="131"/>
      <c r="CH306" s="131"/>
      <c r="CI306" s="131"/>
      <c r="CJ306" s="131"/>
      <c r="CK306" s="131"/>
      <c r="CL306" s="131"/>
      <c r="CM306" s="131"/>
      <c r="CN306" s="131"/>
      <c r="CO306" s="131"/>
      <c r="CP306" s="131"/>
      <c r="CQ306" s="131"/>
    </row>
    <row r="307" spans="1:95" ht="15" hidden="1" customHeight="1" outlineLevel="2" x14ac:dyDescent="0.25">
      <c r="A307" s="131"/>
      <c r="B307" s="191"/>
      <c r="C307" s="131"/>
      <c r="D307" s="17">
        <v>45</v>
      </c>
      <c r="E307" s="18">
        <v>46</v>
      </c>
      <c r="F307" s="17">
        <v>47</v>
      </c>
      <c r="G307" s="18">
        <v>48</v>
      </c>
      <c r="H307" s="17">
        <v>49</v>
      </c>
      <c r="I307" s="18">
        <v>50</v>
      </c>
      <c r="J307" s="17">
        <v>51</v>
      </c>
      <c r="K307" s="18">
        <v>52</v>
      </c>
      <c r="L307" s="17">
        <v>53</v>
      </c>
      <c r="M307" s="18">
        <v>54</v>
      </c>
      <c r="N307" s="17">
        <v>55</v>
      </c>
      <c r="O307" s="18">
        <v>56</v>
      </c>
      <c r="P307" s="17">
        <v>57</v>
      </c>
      <c r="Q307" s="18">
        <v>58</v>
      </c>
      <c r="R307" s="17">
        <v>59</v>
      </c>
      <c r="S307" s="18">
        <v>60</v>
      </c>
      <c r="T307" s="17">
        <v>61</v>
      </c>
      <c r="U307" s="18">
        <v>62</v>
      </c>
      <c r="V307" s="17">
        <v>63</v>
      </c>
      <c r="W307" s="18">
        <v>64</v>
      </c>
      <c r="X307" s="17">
        <v>65</v>
      </c>
      <c r="Y307" s="18">
        <v>66</v>
      </c>
      <c r="Z307" s="17">
        <v>67</v>
      </c>
      <c r="AA307" s="18">
        <v>68</v>
      </c>
      <c r="AB307" s="17">
        <v>69</v>
      </c>
      <c r="AC307" s="18">
        <v>70</v>
      </c>
      <c r="AD307" s="17">
        <v>71</v>
      </c>
      <c r="AE307" s="18">
        <v>72</v>
      </c>
      <c r="AF307" s="17">
        <v>73</v>
      </c>
      <c r="AG307" s="18">
        <v>74</v>
      </c>
      <c r="AH307" s="17">
        <v>75</v>
      </c>
      <c r="AI307" s="18">
        <v>76</v>
      </c>
      <c r="AJ307" s="17">
        <v>77</v>
      </c>
      <c r="AK307" s="18">
        <v>78</v>
      </c>
      <c r="AL307" s="17">
        <v>79</v>
      </c>
      <c r="AM307" s="18">
        <v>80</v>
      </c>
      <c r="AN307" s="17">
        <v>81</v>
      </c>
      <c r="AO307" s="18">
        <v>82</v>
      </c>
      <c r="AP307" s="17">
        <v>83</v>
      </c>
      <c r="AQ307" s="18">
        <v>84</v>
      </c>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131"/>
      <c r="CC307" s="131"/>
      <c r="CD307" s="131"/>
      <c r="CE307" s="131"/>
      <c r="CF307" s="131"/>
      <c r="CG307" s="131"/>
      <c r="CH307" s="131"/>
      <c r="CI307" s="131"/>
      <c r="CJ307" s="131"/>
      <c r="CK307" s="131"/>
      <c r="CL307" s="131"/>
      <c r="CM307" s="131"/>
      <c r="CN307" s="131"/>
      <c r="CO307" s="131"/>
      <c r="CP307" s="131"/>
      <c r="CQ307" s="131"/>
    </row>
    <row r="308" spans="1:95" ht="15" hidden="1" customHeight="1" outlineLevel="2" x14ac:dyDescent="0.25">
      <c r="A308" s="131"/>
      <c r="B308" s="131" t="s">
        <v>98</v>
      </c>
      <c r="C308" s="131"/>
      <c r="D308" s="148">
        <f t="shared" ref="D308:AQ308" si="21">Dementia_values_road_1dB*Road_mask +Dementia_values_rail_1dB*Rail_mask +Dementia_values_aviation_1dB*Aviation_mask</f>
        <v>0</v>
      </c>
      <c r="E308" s="148">
        <f t="shared" si="21"/>
        <v>0</v>
      </c>
      <c r="F308" s="148">
        <f t="shared" si="21"/>
        <v>0</v>
      </c>
      <c r="G308" s="148">
        <f t="shared" si="21"/>
        <v>3.5247969391350451</v>
      </c>
      <c r="H308" s="148">
        <f t="shared" si="21"/>
        <v>3.5323165651015906</v>
      </c>
      <c r="I308" s="148">
        <f t="shared" si="21"/>
        <v>3.5398529170119266</v>
      </c>
      <c r="J308" s="148">
        <f t="shared" si="21"/>
        <v>3.5474060335686786</v>
      </c>
      <c r="K308" s="148">
        <f t="shared" si="21"/>
        <v>3.5549759535671015</v>
      </c>
      <c r="L308" s="148">
        <f t="shared" si="21"/>
        <v>3.5625627158955657</v>
      </c>
      <c r="M308" s="148">
        <f t="shared" si="21"/>
        <v>3.5701663595357442</v>
      </c>
      <c r="N308" s="148">
        <f t="shared" si="21"/>
        <v>3.5777869235628565</v>
      </c>
      <c r="O308" s="148">
        <f t="shared" si="21"/>
        <v>3.5854244471456127</v>
      </c>
      <c r="P308" s="148">
        <f t="shared" si="21"/>
        <v>3.5930789695473377</v>
      </c>
      <c r="Q308" s="148">
        <f t="shared" si="21"/>
        <v>3.6007505301247922</v>
      </c>
      <c r="R308" s="148">
        <f t="shared" si="21"/>
        <v>3.6084391683298116</v>
      </c>
      <c r="S308" s="148">
        <f t="shared" si="21"/>
        <v>3.6161449237086267</v>
      </c>
      <c r="T308" s="148">
        <f t="shared" si="21"/>
        <v>3.6238678359024621</v>
      </c>
      <c r="U308" s="148">
        <f t="shared" si="21"/>
        <v>3.6316079446477305</v>
      </c>
      <c r="V308" s="148">
        <f t="shared" si="21"/>
        <v>3.6393652897761455</v>
      </c>
      <c r="W308" s="148">
        <f t="shared" si="21"/>
        <v>3.6471399112151368</v>
      </c>
      <c r="X308" s="148">
        <f t="shared" si="21"/>
        <v>3.6549318489881442</v>
      </c>
      <c r="Y308" s="148">
        <f t="shared" si="21"/>
        <v>3.6627411432143404</v>
      </c>
      <c r="Z308" s="148">
        <f t="shared" si="21"/>
        <v>3.6705678341096757</v>
      </c>
      <c r="AA308" s="148">
        <f t="shared" si="21"/>
        <v>3.6784119619861659</v>
      </c>
      <c r="AB308" s="148">
        <f t="shared" si="21"/>
        <v>3.6862735672532803</v>
      </c>
      <c r="AC308" s="148">
        <f t="shared" si="21"/>
        <v>3.6941526904171957</v>
      </c>
      <c r="AD308" s="148">
        <f t="shared" si="21"/>
        <v>3.7020493720811571</v>
      </c>
      <c r="AE308" s="148">
        <f t="shared" si="21"/>
        <v>3.709963652946394</v>
      </c>
      <c r="AF308" s="148">
        <f t="shared" si="21"/>
        <v>3.7178955738118447</v>
      </c>
      <c r="AG308" s="148">
        <f t="shared" si="21"/>
        <v>3.7258451755742428</v>
      </c>
      <c r="AH308" s="148">
        <f t="shared" si="21"/>
        <v>3.7338124992289221</v>
      </c>
      <c r="AI308" s="148">
        <f t="shared" si="21"/>
        <v>3.7417975858690871</v>
      </c>
      <c r="AJ308" s="148">
        <f t="shared" si="21"/>
        <v>3.7417975858690871</v>
      </c>
      <c r="AK308" s="148">
        <f t="shared" si="21"/>
        <v>3.7417975858690871</v>
      </c>
      <c r="AL308" s="148">
        <f t="shared" si="21"/>
        <v>3.7417975858690871</v>
      </c>
      <c r="AM308" s="148">
        <f t="shared" si="21"/>
        <v>3.7417975858690871</v>
      </c>
      <c r="AN308" s="148">
        <f t="shared" si="21"/>
        <v>3.7417975858690871</v>
      </c>
      <c r="AO308" s="148">
        <f t="shared" si="21"/>
        <v>3.7417975858690871</v>
      </c>
      <c r="AP308" s="148">
        <f t="shared" si="21"/>
        <v>3.7417975858690902</v>
      </c>
      <c r="AQ308" s="148">
        <f t="shared" si="21"/>
        <v>3.7417975858690902</v>
      </c>
      <c r="AR308" s="3" t="s">
        <v>166</v>
      </c>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c r="BW308" s="131"/>
      <c r="BX308" s="131"/>
      <c r="BY308" s="131"/>
      <c r="BZ308" s="131"/>
      <c r="CA308" s="131"/>
      <c r="CB308" s="131"/>
      <c r="CC308" s="131"/>
      <c r="CD308" s="131"/>
      <c r="CE308" s="131"/>
      <c r="CF308" s="131"/>
      <c r="CG308" s="131"/>
      <c r="CH308" s="131"/>
      <c r="CI308" s="131"/>
      <c r="CJ308" s="131"/>
      <c r="CK308" s="131"/>
      <c r="CL308" s="131"/>
      <c r="CM308" s="131"/>
      <c r="CN308" s="131"/>
      <c r="CO308" s="131"/>
      <c r="CP308" s="131"/>
      <c r="CQ308" s="131"/>
    </row>
    <row r="309" spans="1:95" ht="15" hidden="1" customHeight="1" outlineLevel="2" x14ac:dyDescent="0.25">
      <c r="A309" s="131"/>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c r="BW309" s="131"/>
      <c r="BX309" s="131"/>
      <c r="BY309" s="131"/>
      <c r="BZ309" s="131"/>
      <c r="CA309" s="131"/>
      <c r="CB309" s="131"/>
      <c r="CC309" s="131"/>
      <c r="CD309" s="131"/>
      <c r="CE309" s="131"/>
      <c r="CF309" s="131"/>
      <c r="CG309" s="131"/>
      <c r="CH309" s="131"/>
      <c r="CI309" s="131"/>
      <c r="CJ309" s="131"/>
      <c r="CK309" s="131"/>
      <c r="CL309" s="131"/>
      <c r="CM309" s="131"/>
      <c r="CN309" s="131"/>
      <c r="CO309" s="131"/>
      <c r="CP309" s="131"/>
      <c r="CQ309" s="131"/>
    </row>
    <row r="310" spans="1:95" ht="15" hidden="1" customHeight="1" outlineLevel="2" x14ac:dyDescent="0.25">
      <c r="A310" s="131"/>
      <c r="C310" s="176" t="s">
        <v>814</v>
      </c>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3"/>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c r="BW310" s="131"/>
      <c r="BX310" s="131"/>
      <c r="BY310" s="131"/>
      <c r="BZ310" s="131"/>
      <c r="CA310" s="131"/>
      <c r="CB310" s="131"/>
      <c r="CC310" s="131"/>
      <c r="CD310" s="131"/>
      <c r="CE310" s="131"/>
      <c r="CF310" s="131"/>
      <c r="CG310" s="131"/>
      <c r="CH310" s="131"/>
      <c r="CI310" s="131"/>
      <c r="CJ310" s="131"/>
      <c r="CK310" s="131"/>
      <c r="CL310" s="131"/>
      <c r="CM310" s="131"/>
      <c r="CN310" s="131"/>
      <c r="CO310" s="131"/>
      <c r="CP310" s="131"/>
      <c r="CQ310" s="131"/>
    </row>
    <row r="311" spans="1:95" ht="15" hidden="1" customHeight="1" outlineLevel="2" x14ac:dyDescent="0.25">
      <c r="A311" s="131"/>
      <c r="B311" s="171" t="s">
        <v>760</v>
      </c>
      <c r="C311" s="177" t="s">
        <v>16</v>
      </c>
      <c r="D311" s="148">
        <v>1</v>
      </c>
      <c r="E311" s="148">
        <v>1</v>
      </c>
      <c r="F311" s="148">
        <v>0.5</v>
      </c>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3" t="s">
        <v>800</v>
      </c>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c r="CA311" s="131"/>
      <c r="CB311" s="131"/>
      <c r="CC311" s="131"/>
      <c r="CD311" s="131"/>
      <c r="CE311" s="131"/>
      <c r="CF311" s="131"/>
      <c r="CG311" s="131"/>
      <c r="CH311" s="131"/>
      <c r="CI311" s="131"/>
      <c r="CJ311" s="131"/>
      <c r="CK311" s="131"/>
      <c r="CL311" s="131"/>
      <c r="CM311" s="131"/>
      <c r="CN311" s="131"/>
      <c r="CO311" s="131"/>
      <c r="CP311" s="131"/>
      <c r="CQ311" s="131"/>
    </row>
    <row r="312" spans="1:95" ht="15" hidden="1" customHeight="1" outlineLevel="2" x14ac:dyDescent="0.25">
      <c r="A312" s="131"/>
      <c r="B312" s="171" t="s">
        <v>758</v>
      </c>
      <c r="C312" s="177" t="s">
        <v>17</v>
      </c>
      <c r="D312" s="148"/>
      <c r="E312" s="148"/>
      <c r="F312" s="148">
        <v>0.5</v>
      </c>
      <c r="G312" s="148">
        <v>1</v>
      </c>
      <c r="H312" s="148">
        <v>1</v>
      </c>
      <c r="I312" s="148">
        <v>0.5</v>
      </c>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c r="AH312" s="148"/>
      <c r="AI312" s="148"/>
      <c r="AJ312" s="148"/>
      <c r="AK312" s="148"/>
      <c r="AL312" s="148"/>
      <c r="AM312" s="148"/>
      <c r="AN312" s="148"/>
      <c r="AO312" s="148"/>
      <c r="AP312" s="148"/>
      <c r="AQ312" s="148"/>
      <c r="AR312" s="3" t="s">
        <v>801</v>
      </c>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131"/>
      <c r="CC312" s="131"/>
      <c r="CD312" s="131"/>
      <c r="CE312" s="131"/>
      <c r="CF312" s="131"/>
      <c r="CG312" s="131"/>
      <c r="CH312" s="131"/>
      <c r="CI312" s="131"/>
      <c r="CJ312" s="131"/>
      <c r="CK312" s="131"/>
      <c r="CL312" s="131"/>
      <c r="CM312" s="131"/>
      <c r="CN312" s="131"/>
      <c r="CO312" s="131"/>
      <c r="CP312" s="131"/>
      <c r="CQ312" s="131"/>
    </row>
    <row r="313" spans="1:95" ht="15" hidden="1" customHeight="1" outlineLevel="2" x14ac:dyDescent="0.25">
      <c r="A313" s="131"/>
      <c r="B313" s="171" t="s">
        <v>759</v>
      </c>
      <c r="C313" s="177" t="s">
        <v>18</v>
      </c>
      <c r="D313" s="148"/>
      <c r="E313" s="148"/>
      <c r="F313" s="148"/>
      <c r="G313" s="148"/>
      <c r="H313" s="148"/>
      <c r="I313" s="148">
        <v>0.5</v>
      </c>
      <c r="J313" s="148">
        <v>1</v>
      </c>
      <c r="K313" s="148">
        <v>1</v>
      </c>
      <c r="L313" s="148">
        <v>0.5</v>
      </c>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3" t="s">
        <v>802</v>
      </c>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c r="BQ313" s="131"/>
      <c r="BR313" s="131"/>
      <c r="BS313" s="131"/>
      <c r="BT313" s="131"/>
      <c r="BU313" s="131"/>
      <c r="BV313" s="131"/>
      <c r="BW313" s="131"/>
      <c r="BX313" s="131"/>
      <c r="BY313" s="131"/>
      <c r="BZ313" s="131"/>
      <c r="CA313" s="131"/>
      <c r="CB313" s="131"/>
      <c r="CC313" s="131"/>
      <c r="CD313" s="131"/>
      <c r="CE313" s="131"/>
      <c r="CF313" s="131"/>
      <c r="CG313" s="131"/>
      <c r="CH313" s="131"/>
      <c r="CI313" s="131"/>
      <c r="CJ313" s="131"/>
      <c r="CK313" s="131"/>
      <c r="CL313" s="131"/>
      <c r="CM313" s="131"/>
      <c r="CN313" s="131"/>
      <c r="CO313" s="131"/>
      <c r="CP313" s="131"/>
      <c r="CQ313" s="131"/>
    </row>
    <row r="314" spans="1:95" ht="15" hidden="1" customHeight="1" outlineLevel="2" x14ac:dyDescent="0.25">
      <c r="A314" s="131"/>
      <c r="B314" s="131"/>
      <c r="C314" s="177" t="s">
        <v>19</v>
      </c>
      <c r="D314" s="148"/>
      <c r="E314" s="148"/>
      <c r="F314" s="148"/>
      <c r="G314" s="148"/>
      <c r="H314" s="148"/>
      <c r="I314" s="148"/>
      <c r="J314" s="148"/>
      <c r="K314" s="148"/>
      <c r="L314" s="148">
        <v>0.5</v>
      </c>
      <c r="M314" s="148">
        <v>1</v>
      </c>
      <c r="N314" s="148">
        <v>1</v>
      </c>
      <c r="O314" s="148">
        <v>0.5</v>
      </c>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c r="AP314" s="148"/>
      <c r="AQ314" s="148"/>
      <c r="AR314" s="3" t="s">
        <v>803</v>
      </c>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c r="BQ314" s="131"/>
      <c r="BR314" s="131"/>
      <c r="BS314" s="131"/>
      <c r="BT314" s="131"/>
      <c r="BU314" s="131"/>
      <c r="BV314" s="131"/>
      <c r="BW314" s="131"/>
      <c r="BX314" s="131"/>
      <c r="BY314" s="131"/>
      <c r="BZ314" s="131"/>
      <c r="CA314" s="131"/>
      <c r="CB314" s="131"/>
      <c r="CC314" s="131"/>
      <c r="CD314" s="131"/>
      <c r="CE314" s="131"/>
      <c r="CF314" s="131"/>
      <c r="CG314" s="131"/>
      <c r="CH314" s="131"/>
      <c r="CI314" s="131"/>
      <c r="CJ314" s="131"/>
      <c r="CK314" s="131"/>
      <c r="CL314" s="131"/>
      <c r="CM314" s="131"/>
      <c r="CN314" s="131"/>
      <c r="CO314" s="131"/>
      <c r="CP314" s="131"/>
      <c r="CQ314" s="131"/>
    </row>
    <row r="315" spans="1:95" ht="15" hidden="1" customHeight="1" outlineLevel="2" x14ac:dyDescent="0.25">
      <c r="A315" s="131"/>
      <c r="B315" s="131"/>
      <c r="C315" s="177" t="s">
        <v>20</v>
      </c>
      <c r="D315" s="148"/>
      <c r="E315" s="148"/>
      <c r="F315" s="148"/>
      <c r="G315" s="148"/>
      <c r="H315" s="148"/>
      <c r="I315" s="148"/>
      <c r="J315" s="148"/>
      <c r="K315" s="148"/>
      <c r="L315" s="148"/>
      <c r="M315" s="148"/>
      <c r="N315" s="148"/>
      <c r="O315" s="148">
        <v>0.5</v>
      </c>
      <c r="P315" s="148">
        <v>1</v>
      </c>
      <c r="Q315" s="148">
        <v>1</v>
      </c>
      <c r="R315" s="148">
        <v>0.5</v>
      </c>
      <c r="S315" s="148"/>
      <c r="T315" s="148"/>
      <c r="U315" s="148"/>
      <c r="V315" s="148"/>
      <c r="W315" s="148"/>
      <c r="X315" s="148"/>
      <c r="Y315" s="148"/>
      <c r="Z315" s="148"/>
      <c r="AA315" s="148"/>
      <c r="AB315" s="148"/>
      <c r="AC315" s="148"/>
      <c r="AD315" s="148"/>
      <c r="AE315" s="148"/>
      <c r="AF315" s="148"/>
      <c r="AG315" s="148"/>
      <c r="AH315" s="148"/>
      <c r="AI315" s="148"/>
      <c r="AJ315" s="148"/>
      <c r="AK315" s="148"/>
      <c r="AL315" s="148"/>
      <c r="AM315" s="148"/>
      <c r="AN315" s="148"/>
      <c r="AO315" s="148"/>
      <c r="AP315" s="148"/>
      <c r="AQ315" s="148"/>
      <c r="AR315" s="3" t="s">
        <v>804</v>
      </c>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1"/>
      <c r="BR315" s="131"/>
      <c r="BS315" s="131"/>
      <c r="BT315" s="131"/>
      <c r="BU315" s="131"/>
      <c r="BV315" s="131"/>
      <c r="BW315" s="131"/>
      <c r="BX315" s="131"/>
      <c r="BY315" s="131"/>
      <c r="BZ315" s="131"/>
      <c r="CA315" s="131"/>
      <c r="CB315" s="131"/>
      <c r="CC315" s="131"/>
      <c r="CD315" s="131"/>
      <c r="CE315" s="131"/>
      <c r="CF315" s="131"/>
      <c r="CG315" s="131"/>
      <c r="CH315" s="131"/>
      <c r="CI315" s="131"/>
      <c r="CJ315" s="131"/>
      <c r="CK315" s="131"/>
      <c r="CL315" s="131"/>
      <c r="CM315" s="131"/>
      <c r="CN315" s="131"/>
      <c r="CO315" s="131"/>
      <c r="CP315" s="131"/>
      <c r="CQ315" s="131"/>
    </row>
    <row r="316" spans="1:95" ht="15" hidden="1" customHeight="1" outlineLevel="2" x14ac:dyDescent="0.25">
      <c r="A316" s="131"/>
      <c r="B316" s="131"/>
      <c r="C316" s="177" t="s">
        <v>21</v>
      </c>
      <c r="D316" s="148"/>
      <c r="E316" s="148"/>
      <c r="F316" s="148"/>
      <c r="G316" s="148"/>
      <c r="H316" s="148"/>
      <c r="I316" s="148"/>
      <c r="J316" s="148"/>
      <c r="K316" s="148"/>
      <c r="L316" s="148"/>
      <c r="M316" s="148"/>
      <c r="N316" s="148"/>
      <c r="O316" s="148"/>
      <c r="P316" s="148"/>
      <c r="Q316" s="148"/>
      <c r="R316" s="148">
        <v>0.5</v>
      </c>
      <c r="S316" s="148">
        <v>1</v>
      </c>
      <c r="T316" s="148">
        <v>1</v>
      </c>
      <c r="U316" s="148">
        <v>0.5</v>
      </c>
      <c r="V316" s="148"/>
      <c r="W316" s="148"/>
      <c r="X316" s="148"/>
      <c r="Y316" s="148"/>
      <c r="Z316" s="148"/>
      <c r="AA316" s="148"/>
      <c r="AB316" s="148"/>
      <c r="AC316" s="148"/>
      <c r="AD316" s="148"/>
      <c r="AE316" s="148"/>
      <c r="AF316" s="148"/>
      <c r="AG316" s="148"/>
      <c r="AH316" s="148"/>
      <c r="AI316" s="148"/>
      <c r="AJ316" s="148"/>
      <c r="AK316" s="148"/>
      <c r="AL316" s="148"/>
      <c r="AM316" s="148"/>
      <c r="AN316" s="148"/>
      <c r="AO316" s="148"/>
      <c r="AP316" s="148"/>
      <c r="AQ316" s="148"/>
      <c r="AR316" s="3" t="s">
        <v>805</v>
      </c>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31"/>
      <c r="BR316" s="131"/>
      <c r="BS316" s="131"/>
      <c r="BT316" s="131"/>
      <c r="BU316" s="131"/>
      <c r="BV316" s="131"/>
      <c r="BW316" s="131"/>
      <c r="BX316" s="131"/>
      <c r="BY316" s="131"/>
      <c r="BZ316" s="131"/>
      <c r="CA316" s="131"/>
      <c r="CB316" s="131"/>
      <c r="CC316" s="131"/>
      <c r="CD316" s="131"/>
      <c r="CE316" s="131"/>
      <c r="CF316" s="131"/>
      <c r="CG316" s="131"/>
      <c r="CH316" s="131"/>
      <c r="CI316" s="131"/>
      <c r="CJ316" s="131"/>
      <c r="CK316" s="131"/>
      <c r="CL316" s="131"/>
      <c r="CM316" s="131"/>
      <c r="CN316" s="131"/>
      <c r="CO316" s="131"/>
      <c r="CP316" s="131"/>
      <c r="CQ316" s="131"/>
    </row>
    <row r="317" spans="1:95" ht="15" hidden="1" customHeight="1" outlineLevel="2" x14ac:dyDescent="0.25">
      <c r="A317" s="131"/>
      <c r="B317" s="131"/>
      <c r="C317" s="177" t="s">
        <v>22</v>
      </c>
      <c r="D317" s="148"/>
      <c r="E317" s="148"/>
      <c r="F317" s="148"/>
      <c r="G317" s="148"/>
      <c r="H317" s="148"/>
      <c r="I317" s="148"/>
      <c r="J317" s="148"/>
      <c r="K317" s="148"/>
      <c r="L317" s="148"/>
      <c r="M317" s="148"/>
      <c r="N317" s="148"/>
      <c r="O317" s="148"/>
      <c r="P317" s="148"/>
      <c r="Q317" s="148"/>
      <c r="R317" s="148"/>
      <c r="S317" s="148"/>
      <c r="T317" s="148"/>
      <c r="U317" s="148">
        <v>0.5</v>
      </c>
      <c r="V317" s="148">
        <v>1</v>
      </c>
      <c r="W317" s="148">
        <v>1</v>
      </c>
      <c r="X317" s="148">
        <v>0.5</v>
      </c>
      <c r="Y317" s="148"/>
      <c r="Z317" s="148"/>
      <c r="AA317" s="148"/>
      <c r="AB317" s="148"/>
      <c r="AC317" s="148"/>
      <c r="AD317" s="148"/>
      <c r="AE317" s="148"/>
      <c r="AF317" s="148"/>
      <c r="AG317" s="148"/>
      <c r="AH317" s="148"/>
      <c r="AI317" s="148"/>
      <c r="AJ317" s="148"/>
      <c r="AK317" s="148"/>
      <c r="AL317" s="148"/>
      <c r="AM317" s="148"/>
      <c r="AN317" s="148"/>
      <c r="AO317" s="148"/>
      <c r="AP317" s="148"/>
      <c r="AQ317" s="148"/>
      <c r="AR317" s="3" t="s">
        <v>806</v>
      </c>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c r="BW317" s="131"/>
      <c r="BX317" s="131"/>
      <c r="BY317" s="131"/>
      <c r="BZ317" s="131"/>
      <c r="CA317" s="131"/>
      <c r="CB317" s="131"/>
      <c r="CC317" s="131"/>
      <c r="CD317" s="131"/>
      <c r="CE317" s="131"/>
      <c r="CF317" s="131"/>
      <c r="CG317" s="131"/>
      <c r="CH317" s="131"/>
      <c r="CI317" s="131"/>
      <c r="CJ317" s="131"/>
      <c r="CK317" s="131"/>
      <c r="CL317" s="131"/>
      <c r="CM317" s="131"/>
      <c r="CN317" s="131"/>
      <c r="CO317" s="131"/>
      <c r="CP317" s="131"/>
      <c r="CQ317" s="131"/>
    </row>
    <row r="318" spans="1:95" ht="15" hidden="1" customHeight="1" outlineLevel="2" x14ac:dyDescent="0.25">
      <c r="A318" s="131"/>
      <c r="B318" s="131"/>
      <c r="C318" s="177" t="s">
        <v>23</v>
      </c>
      <c r="D318" s="148"/>
      <c r="E318" s="148"/>
      <c r="F318" s="148"/>
      <c r="G318" s="148"/>
      <c r="H318" s="148"/>
      <c r="I318" s="148"/>
      <c r="J318" s="148"/>
      <c r="K318" s="148"/>
      <c r="L318" s="148"/>
      <c r="M318" s="148"/>
      <c r="N318" s="148"/>
      <c r="O318" s="148"/>
      <c r="P318" s="148"/>
      <c r="Q318" s="148"/>
      <c r="R318" s="148"/>
      <c r="S318" s="148"/>
      <c r="T318" s="148"/>
      <c r="U318" s="148"/>
      <c r="V318" s="148"/>
      <c r="W318" s="148"/>
      <c r="X318" s="148">
        <v>0.5</v>
      </c>
      <c r="Y318" s="148">
        <v>1</v>
      </c>
      <c r="Z318" s="148">
        <v>1</v>
      </c>
      <c r="AA318" s="148">
        <v>0.5</v>
      </c>
      <c r="AB318" s="148"/>
      <c r="AC318" s="148"/>
      <c r="AD318" s="148"/>
      <c r="AE318" s="148"/>
      <c r="AF318" s="148"/>
      <c r="AG318" s="148"/>
      <c r="AH318" s="148"/>
      <c r="AI318" s="148"/>
      <c r="AJ318" s="148"/>
      <c r="AK318" s="148"/>
      <c r="AL318" s="148"/>
      <c r="AM318" s="148"/>
      <c r="AN318" s="148"/>
      <c r="AO318" s="148"/>
      <c r="AP318" s="148"/>
      <c r="AQ318" s="148"/>
      <c r="AR318" s="3" t="s">
        <v>807</v>
      </c>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c r="BW318" s="131"/>
      <c r="BX318" s="131"/>
      <c r="BY318" s="131"/>
      <c r="BZ318" s="131"/>
      <c r="CA318" s="131"/>
      <c r="CB318" s="131"/>
      <c r="CC318" s="131"/>
      <c r="CD318" s="131"/>
      <c r="CE318" s="131"/>
      <c r="CF318" s="131"/>
      <c r="CG318" s="131"/>
      <c r="CH318" s="131"/>
      <c r="CI318" s="131"/>
      <c r="CJ318" s="131"/>
      <c r="CK318" s="131"/>
      <c r="CL318" s="131"/>
      <c r="CM318" s="131"/>
      <c r="CN318" s="131"/>
      <c r="CO318" s="131"/>
      <c r="CP318" s="131"/>
      <c r="CQ318" s="131"/>
    </row>
    <row r="319" spans="1:95" ht="15" hidden="1" customHeight="1" outlineLevel="2" x14ac:dyDescent="0.25">
      <c r="A319" s="131"/>
      <c r="B319" s="131"/>
      <c r="C319" s="177" t="s">
        <v>24</v>
      </c>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v>0.5</v>
      </c>
      <c r="AB319" s="148">
        <v>1</v>
      </c>
      <c r="AC319" s="148">
        <v>1</v>
      </c>
      <c r="AD319" s="148">
        <v>0.5</v>
      </c>
      <c r="AE319" s="148"/>
      <c r="AF319" s="148"/>
      <c r="AG319" s="148"/>
      <c r="AH319" s="148"/>
      <c r="AI319" s="148"/>
      <c r="AJ319" s="148"/>
      <c r="AK319" s="148"/>
      <c r="AL319" s="148"/>
      <c r="AM319" s="148"/>
      <c r="AN319" s="148"/>
      <c r="AO319" s="148"/>
      <c r="AP319" s="148"/>
      <c r="AQ319" s="148"/>
      <c r="AR319" s="3" t="s">
        <v>808</v>
      </c>
      <c r="AS319" s="131"/>
      <c r="AT319" s="131"/>
      <c r="AU319" s="131"/>
      <c r="AV319" s="131"/>
      <c r="AW319" s="131"/>
      <c r="AX319" s="131"/>
      <c r="AY319" s="131"/>
      <c r="AZ319" s="131"/>
      <c r="BA319" s="131"/>
      <c r="BB319" s="131"/>
      <c r="BC319" s="131"/>
      <c r="BD319" s="131"/>
      <c r="BE319" s="131"/>
      <c r="BF319" s="131"/>
      <c r="BG319" s="131"/>
      <c r="BH319" s="131"/>
      <c r="BI319" s="131"/>
      <c r="BJ319" s="131"/>
      <c r="BK319" s="131"/>
      <c r="BL319" s="131"/>
      <c r="BM319" s="131"/>
      <c r="BN319" s="131"/>
      <c r="BO319" s="131"/>
      <c r="BP319" s="131"/>
      <c r="BQ319" s="131"/>
      <c r="BR319" s="131"/>
      <c r="BS319" s="131"/>
      <c r="BT319" s="131"/>
      <c r="BU319" s="131"/>
      <c r="BV319" s="131"/>
      <c r="BW319" s="131"/>
      <c r="BX319" s="131"/>
      <c r="BY319" s="131"/>
      <c r="BZ319" s="131"/>
      <c r="CA319" s="131"/>
      <c r="CB319" s="131"/>
      <c r="CC319" s="131"/>
      <c r="CD319" s="131"/>
      <c r="CE319" s="131"/>
      <c r="CF319" s="131"/>
      <c r="CG319" s="131"/>
      <c r="CH319" s="131"/>
      <c r="CI319" s="131"/>
      <c r="CJ319" s="131"/>
      <c r="CK319" s="131"/>
      <c r="CL319" s="131"/>
      <c r="CM319" s="131"/>
      <c r="CN319" s="131"/>
      <c r="CO319" s="131"/>
      <c r="CP319" s="131"/>
      <c r="CQ319" s="131"/>
    </row>
    <row r="320" spans="1:95" ht="15" hidden="1" customHeight="1" outlineLevel="2" x14ac:dyDescent="0.25">
      <c r="A320" s="131"/>
      <c r="B320" s="131"/>
      <c r="C320" s="177" t="s">
        <v>25</v>
      </c>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v>0.5</v>
      </c>
      <c r="AE320" s="148">
        <v>1</v>
      </c>
      <c r="AF320" s="148">
        <v>1</v>
      </c>
      <c r="AG320" s="148">
        <v>0.5</v>
      </c>
      <c r="AH320" s="148"/>
      <c r="AI320" s="148"/>
      <c r="AJ320" s="148"/>
      <c r="AK320" s="148"/>
      <c r="AL320" s="148"/>
      <c r="AM320" s="148"/>
      <c r="AN320" s="148"/>
      <c r="AO320" s="148"/>
      <c r="AP320" s="148"/>
      <c r="AQ320" s="148"/>
      <c r="AR320" s="3" t="s">
        <v>809</v>
      </c>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c r="CM320" s="131"/>
      <c r="CN320" s="131"/>
      <c r="CO320" s="131"/>
      <c r="CP320" s="131"/>
      <c r="CQ320" s="131"/>
    </row>
    <row r="321" spans="1:95" ht="15" hidden="1" customHeight="1" outlineLevel="2" x14ac:dyDescent="0.25">
      <c r="A321" s="131"/>
      <c r="B321" s="131"/>
      <c r="C321" s="177" t="s">
        <v>26</v>
      </c>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v>0.5</v>
      </c>
      <c r="AH321" s="148">
        <v>1</v>
      </c>
      <c r="AI321" s="148">
        <v>1</v>
      </c>
      <c r="AJ321" s="148">
        <v>0.5</v>
      </c>
      <c r="AK321" s="148"/>
      <c r="AL321" s="148"/>
      <c r="AM321" s="148"/>
      <c r="AN321" s="148"/>
      <c r="AO321" s="148"/>
      <c r="AP321" s="148"/>
      <c r="AQ321" s="148"/>
      <c r="AR321" s="3" t="s">
        <v>810</v>
      </c>
      <c r="AS321" s="131"/>
      <c r="AT321" s="131"/>
      <c r="AU321" s="131"/>
      <c r="AV321" s="131"/>
      <c r="AW321" s="131"/>
      <c r="AX321" s="131"/>
      <c r="AY321" s="131"/>
      <c r="AZ321" s="131"/>
      <c r="BA321" s="131"/>
      <c r="BB321" s="131"/>
      <c r="BC321" s="131"/>
      <c r="BD321" s="131"/>
      <c r="BE321" s="131"/>
      <c r="BF321" s="131"/>
      <c r="BG321" s="131"/>
      <c r="BH321" s="131"/>
      <c r="BI321" s="131"/>
      <c r="BJ321" s="131"/>
      <c r="BK321" s="131"/>
      <c r="BL321" s="131"/>
      <c r="BM321" s="131"/>
      <c r="BN321" s="131"/>
      <c r="BO321" s="131"/>
      <c r="BP321" s="131"/>
      <c r="BQ321" s="131"/>
      <c r="BR321" s="131"/>
      <c r="BS321" s="131"/>
      <c r="BT321" s="131"/>
      <c r="BU321" s="131"/>
      <c r="BV321" s="131"/>
      <c r="BW321" s="131"/>
      <c r="BX321" s="131"/>
      <c r="BY321" s="131"/>
      <c r="BZ321" s="131"/>
      <c r="CA321" s="131"/>
      <c r="CB321" s="131"/>
      <c r="CC321" s="131"/>
      <c r="CD321" s="131"/>
      <c r="CE321" s="131"/>
      <c r="CF321" s="131"/>
      <c r="CG321" s="131"/>
      <c r="CH321" s="131"/>
      <c r="CI321" s="131"/>
      <c r="CJ321" s="131"/>
      <c r="CK321" s="131"/>
      <c r="CL321" s="131"/>
      <c r="CM321" s="131"/>
      <c r="CN321" s="131"/>
      <c r="CO321" s="131"/>
      <c r="CP321" s="131"/>
      <c r="CQ321" s="131"/>
    </row>
    <row r="322" spans="1:95" ht="15" hidden="1" customHeight="1" outlineLevel="2" x14ac:dyDescent="0.25">
      <c r="A322" s="131"/>
      <c r="B322" s="131"/>
      <c r="C322" s="177" t="s">
        <v>27</v>
      </c>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c r="AH322" s="148"/>
      <c r="AI322" s="148"/>
      <c r="AJ322" s="148">
        <v>0.5</v>
      </c>
      <c r="AK322" s="148">
        <v>1</v>
      </c>
      <c r="AL322" s="148">
        <v>1</v>
      </c>
      <c r="AM322" s="148">
        <v>0.5</v>
      </c>
      <c r="AN322" s="148"/>
      <c r="AO322" s="148"/>
      <c r="AP322" s="148"/>
      <c r="AQ322" s="148"/>
      <c r="AR322" s="3" t="s">
        <v>811</v>
      </c>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1"/>
      <c r="BR322" s="131"/>
      <c r="BS322" s="131"/>
      <c r="BT322" s="131"/>
      <c r="BU322" s="131"/>
      <c r="BV322" s="131"/>
      <c r="BW322" s="131"/>
      <c r="BX322" s="131"/>
      <c r="BY322" s="131"/>
      <c r="BZ322" s="131"/>
      <c r="CA322" s="131"/>
      <c r="CB322" s="131"/>
      <c r="CC322" s="131"/>
      <c r="CD322" s="131"/>
      <c r="CE322" s="131"/>
      <c r="CF322" s="131"/>
      <c r="CG322" s="131"/>
      <c r="CH322" s="131"/>
      <c r="CI322" s="131"/>
      <c r="CJ322" s="131"/>
      <c r="CK322" s="131"/>
      <c r="CL322" s="131"/>
      <c r="CM322" s="131"/>
      <c r="CN322" s="131"/>
      <c r="CO322" s="131"/>
      <c r="CP322" s="131"/>
      <c r="CQ322" s="131"/>
    </row>
    <row r="323" spans="1:95" ht="15" hidden="1" customHeight="1" outlineLevel="2" x14ac:dyDescent="0.25">
      <c r="A323" s="131"/>
      <c r="B323" s="131"/>
      <c r="C323" s="177" t="s">
        <v>28</v>
      </c>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c r="AH323" s="148"/>
      <c r="AI323" s="148"/>
      <c r="AJ323" s="148"/>
      <c r="AK323" s="148"/>
      <c r="AL323" s="148"/>
      <c r="AM323" s="148">
        <v>0.5</v>
      </c>
      <c r="AN323" s="148">
        <v>1</v>
      </c>
      <c r="AO323" s="148">
        <v>1</v>
      </c>
      <c r="AP323" s="148">
        <v>0.5</v>
      </c>
      <c r="AQ323" s="148"/>
      <c r="AR323" s="3" t="s">
        <v>812</v>
      </c>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c r="BW323" s="131"/>
      <c r="BX323" s="131"/>
      <c r="BY323" s="131"/>
      <c r="BZ323" s="131"/>
      <c r="CA323" s="131"/>
      <c r="CB323" s="131"/>
      <c r="CC323" s="131"/>
      <c r="CD323" s="131"/>
      <c r="CE323" s="131"/>
      <c r="CF323" s="131"/>
      <c r="CG323" s="131"/>
      <c r="CH323" s="131"/>
      <c r="CI323" s="131"/>
      <c r="CJ323" s="131"/>
      <c r="CK323" s="131"/>
      <c r="CL323" s="131"/>
      <c r="CM323" s="131"/>
      <c r="CN323" s="131"/>
      <c r="CO323" s="131"/>
      <c r="CP323" s="131"/>
      <c r="CQ323" s="131"/>
    </row>
    <row r="324" spans="1:95" ht="15" hidden="1" customHeight="1" outlineLevel="2" x14ac:dyDescent="0.25">
      <c r="A324" s="131"/>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0"/>
      <c r="AL324" s="150"/>
      <c r="AM324" s="150"/>
      <c r="AN324" s="150"/>
      <c r="AO324" s="150"/>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31"/>
      <c r="BR324" s="131"/>
      <c r="BS324" s="131"/>
      <c r="BT324" s="131"/>
      <c r="BU324" s="131"/>
      <c r="BV324" s="131"/>
      <c r="BW324" s="131"/>
      <c r="BX324" s="131"/>
      <c r="BY324" s="131"/>
      <c r="BZ324" s="131"/>
      <c r="CA324" s="131"/>
      <c r="CB324" s="131"/>
      <c r="CC324" s="131"/>
      <c r="CD324" s="131"/>
      <c r="CE324" s="131"/>
      <c r="CF324" s="131"/>
      <c r="CG324" s="131"/>
      <c r="CH324" s="131"/>
      <c r="CI324" s="131"/>
      <c r="CJ324" s="131"/>
      <c r="CK324" s="131"/>
      <c r="CL324" s="131"/>
      <c r="CM324" s="131"/>
      <c r="CN324" s="131"/>
      <c r="CO324" s="131"/>
      <c r="CP324" s="131"/>
      <c r="CQ324" s="131"/>
    </row>
    <row r="325" spans="1:95" ht="15" hidden="1" customHeight="1" outlineLevel="1" collapsed="1" x14ac:dyDescent="0.25">
      <c r="A325" s="131"/>
      <c r="B325" s="191" t="s">
        <v>63</v>
      </c>
      <c r="C325" s="131"/>
      <c r="D325" s="23" t="s">
        <v>16</v>
      </c>
      <c r="E325" s="24" t="s">
        <v>17</v>
      </c>
      <c r="F325" s="24" t="s">
        <v>18</v>
      </c>
      <c r="G325" s="24" t="s">
        <v>19</v>
      </c>
      <c r="H325" s="24" t="s">
        <v>20</v>
      </c>
      <c r="I325" s="24" t="s">
        <v>21</v>
      </c>
      <c r="J325" s="24" t="s">
        <v>22</v>
      </c>
      <c r="K325" s="24" t="s">
        <v>23</v>
      </c>
      <c r="L325" s="24" t="s">
        <v>24</v>
      </c>
      <c r="M325" s="24" t="s">
        <v>25</v>
      </c>
      <c r="N325" s="24" t="s">
        <v>26</v>
      </c>
      <c r="O325" s="24" t="s">
        <v>27</v>
      </c>
      <c r="P325" s="24" t="s">
        <v>28</v>
      </c>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c r="AO325" s="131"/>
      <c r="AP325" s="131"/>
      <c r="AQ325" s="131"/>
      <c r="AR325" s="131"/>
      <c r="AS325" s="131"/>
      <c r="AT325" s="131"/>
      <c r="AU325" s="131"/>
      <c r="AV325" s="131"/>
      <c r="AW325" s="131"/>
      <c r="AX325" s="131"/>
      <c r="AY325" s="131"/>
      <c r="AZ325" s="131"/>
      <c r="BA325" s="131"/>
      <c r="BB325" s="131"/>
      <c r="BC325" s="131"/>
      <c r="BD325" s="131"/>
      <c r="BE325" s="131"/>
      <c r="BF325" s="131"/>
      <c r="BG325" s="131"/>
      <c r="BH325" s="131"/>
      <c r="BI325" s="131"/>
      <c r="BJ325" s="131"/>
      <c r="BK325" s="131"/>
      <c r="BL325" s="131"/>
      <c r="BM325" s="131"/>
      <c r="BN325" s="131"/>
      <c r="BO325" s="131"/>
      <c r="BP325" s="131"/>
      <c r="BQ325" s="131"/>
      <c r="BR325" s="131"/>
      <c r="BS325" s="131"/>
      <c r="BT325" s="131"/>
      <c r="BU325" s="131"/>
      <c r="BV325" s="131"/>
      <c r="BW325" s="131"/>
      <c r="BX325" s="131"/>
      <c r="BY325" s="131"/>
      <c r="BZ325" s="131"/>
      <c r="CA325" s="131"/>
      <c r="CB325" s="131"/>
      <c r="CC325" s="131"/>
      <c r="CD325" s="131"/>
      <c r="CE325" s="131"/>
      <c r="CF325" s="131"/>
      <c r="CG325" s="131"/>
      <c r="CH325" s="131"/>
      <c r="CI325" s="131"/>
      <c r="CJ325" s="131"/>
      <c r="CK325" s="131"/>
      <c r="CL325" s="131"/>
      <c r="CM325" s="131"/>
      <c r="CN325" s="131"/>
      <c r="CO325" s="131"/>
      <c r="CP325" s="131"/>
      <c r="CQ325" s="131"/>
    </row>
    <row r="326" spans="1:95" ht="15" hidden="1" customHeight="1" outlineLevel="1" x14ac:dyDescent="0.25">
      <c r="A326" s="131"/>
      <c r="B326" s="191"/>
      <c r="C326" s="131"/>
      <c r="D326" s="23" t="s">
        <v>17</v>
      </c>
      <c r="E326" s="24" t="s">
        <v>18</v>
      </c>
      <c r="F326" s="24" t="s">
        <v>19</v>
      </c>
      <c r="G326" s="24" t="s">
        <v>20</v>
      </c>
      <c r="H326" s="24" t="s">
        <v>21</v>
      </c>
      <c r="I326" s="24" t="s">
        <v>22</v>
      </c>
      <c r="J326" s="24" t="s">
        <v>23</v>
      </c>
      <c r="K326" s="24" t="s">
        <v>24</v>
      </c>
      <c r="L326" s="24" t="s">
        <v>25</v>
      </c>
      <c r="M326" s="24" t="s">
        <v>26</v>
      </c>
      <c r="N326" s="24" t="s">
        <v>27</v>
      </c>
      <c r="O326" s="24" t="s">
        <v>28</v>
      </c>
      <c r="P326" s="24" t="s">
        <v>29</v>
      </c>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c r="BM326" s="131"/>
      <c r="BN326" s="131"/>
      <c r="BO326" s="131"/>
      <c r="BP326" s="131"/>
      <c r="BQ326" s="131"/>
      <c r="BR326" s="131"/>
      <c r="BS326" s="131"/>
      <c r="BT326" s="131"/>
      <c r="BU326" s="131"/>
      <c r="BV326" s="131"/>
      <c r="BW326" s="131"/>
      <c r="BX326" s="131"/>
      <c r="BY326" s="131"/>
      <c r="BZ326" s="131"/>
      <c r="CA326" s="131"/>
      <c r="CB326" s="131"/>
      <c r="CC326" s="131"/>
      <c r="CD326" s="131"/>
      <c r="CE326" s="131"/>
      <c r="CF326" s="131"/>
      <c r="CG326" s="131"/>
      <c r="CH326" s="131"/>
      <c r="CI326" s="131"/>
      <c r="CJ326" s="131"/>
      <c r="CK326" s="131"/>
      <c r="CL326" s="131"/>
      <c r="CM326" s="131"/>
      <c r="CN326" s="131"/>
      <c r="CO326" s="131"/>
      <c r="CP326" s="131"/>
      <c r="CQ326" s="131"/>
    </row>
    <row r="327" spans="1:95" s="8" customFormat="1" ht="15" hidden="1" customHeight="1" outlineLevel="1" x14ac:dyDescent="0.25">
      <c r="A327" s="131"/>
      <c r="B327" s="131" t="s">
        <v>98</v>
      </c>
      <c r="C327" s="131"/>
      <c r="D327" s="148">
        <f>SUMPRODUCT(Dementia_values_1dB_table,dementia_1_to_3_dB_band_45)</f>
        <v>0</v>
      </c>
      <c r="E327" s="148">
        <f>SUMPRODUCT(Dementia_values_1dB_table,dementia_1_to_3_dB_band_45_48)</f>
        <v>8.8270399627425995</v>
      </c>
      <c r="F327" s="148">
        <f>SUMPRODUCT(Dementia_values_1dB_table,dementia_1_to_3_dB_band_48_51)</f>
        <v>10.653589803589526</v>
      </c>
      <c r="G327" s="148">
        <f>SUMPRODUCT(Dementia_values_1dB_table,dementia_1_to_3_dB_band_51_54)</f>
        <v>10.72194686461919</v>
      </c>
      <c r="H327" s="148">
        <f>SUMPRODUCT(Dementia_values_1dB_table,dementia_1_to_3_dB_band_54_57)</f>
        <v>10.790761307409843</v>
      </c>
      <c r="I327" s="148">
        <f>SUMPRODUCT(Dementia_values_1dB_table,dementia_1_to_3_dB_band_57_60)</f>
        <v>10.86003631609986</v>
      </c>
      <c r="J327" s="148">
        <f>SUMPRODUCT(Dementia_values_1dB_table,dementia_1_to_3_dB_band_60_63)</f>
        <v>10.92977509780922</v>
      </c>
      <c r="K327" s="148">
        <f>SUMPRODUCT(Dementia_values_1dB_table,dementia_1_to_3_dB_band_63_66)</f>
        <v>10.999980882811172</v>
      </c>
      <c r="L327" s="148">
        <f>SUMPRODUCT(Dementia_values_1dB_table,dementia_1_to_3_dB_band_66_69)</f>
        <v>11.070656924704137</v>
      </c>
      <c r="M327" s="148">
        <f>SUMPRODUCT(Dementia_values_1dB_table,dementia_1_to_3_dB_band_69_72)</f>
        <v>11.14180650058594</v>
      </c>
      <c r="N327" s="148">
        <f>SUMPRODUCT(Dementia_values_1dB_table,dementia_1_to_3_dB_band_72_75)</f>
        <v>11.209431465819673</v>
      </c>
      <c r="O327" s="148">
        <f>SUMPRODUCT(Dementia_values_1dB_table,dementia_1_to_3_dB_band_75_78)</f>
        <v>11.225392757607262</v>
      </c>
      <c r="P327" s="148">
        <f>SUMPRODUCT(Dementia_values_1dB_table,dementia_1_to_3_dB_band_78_81)</f>
        <v>11.225392757607263</v>
      </c>
      <c r="Q327" s="20" t="s">
        <v>813</v>
      </c>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c r="AO327" s="131"/>
      <c r="AP327" s="131"/>
      <c r="AQ327" s="131"/>
      <c r="AR327" s="131"/>
      <c r="AS327" s="131"/>
      <c r="AT327" s="131"/>
      <c r="AU327" s="131"/>
      <c r="AV327" s="131"/>
      <c r="AW327" s="131"/>
      <c r="AX327" s="131"/>
      <c r="AY327" s="131"/>
      <c r="AZ327" s="131"/>
      <c r="BA327" s="131"/>
      <c r="BB327" s="131"/>
      <c r="BC327" s="131"/>
      <c r="BD327" s="131"/>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89"/>
      <c r="CD327" s="89"/>
      <c r="CE327" s="89"/>
      <c r="CF327" s="89"/>
      <c r="CG327" s="89"/>
      <c r="CH327" s="89"/>
      <c r="CI327" s="89"/>
      <c r="CJ327" s="89"/>
      <c r="CK327" s="89"/>
      <c r="CL327" s="89"/>
      <c r="CM327" s="89"/>
      <c r="CN327" s="89"/>
      <c r="CO327" s="89"/>
      <c r="CP327" s="89"/>
      <c r="CQ327" s="89"/>
    </row>
    <row r="328" spans="1:95" s="25" customFormat="1" ht="15" hidden="1" customHeight="1" outlineLevel="1" x14ac:dyDescent="0.25">
      <c r="A328" s="89"/>
      <c r="B328" s="22"/>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c r="AO328" s="150"/>
      <c r="AP328" s="89"/>
      <c r="AQ328" s="89"/>
      <c r="AR328" s="89"/>
      <c r="AS328" s="89"/>
      <c r="AT328" s="89"/>
      <c r="AU328" s="89"/>
      <c r="AV328" s="89"/>
      <c r="AW328" s="89"/>
      <c r="AX328" s="89"/>
      <c r="AY328" s="89"/>
      <c r="AZ328" s="89"/>
      <c r="BA328" s="89"/>
      <c r="BB328" s="89"/>
      <c r="BC328" s="89"/>
      <c r="BD328" s="89"/>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row>
    <row r="329" spans="1:95" s="25" customFormat="1" ht="15" hidden="1" customHeight="1" outlineLevel="1" x14ac:dyDescent="0.25">
      <c r="A329" s="27"/>
      <c r="B329" s="134"/>
      <c r="C329" s="91" t="s">
        <v>15</v>
      </c>
      <c r="D329" s="92" t="s">
        <v>16</v>
      </c>
      <c r="E329" s="135" t="s">
        <v>17</v>
      </c>
      <c r="F329" s="135" t="s">
        <v>18</v>
      </c>
      <c r="G329" s="135" t="s">
        <v>19</v>
      </c>
      <c r="H329" s="135" t="s">
        <v>20</v>
      </c>
      <c r="I329" s="135" t="s">
        <v>21</v>
      </c>
      <c r="J329" s="135" t="s">
        <v>22</v>
      </c>
      <c r="K329" s="135" t="s">
        <v>23</v>
      </c>
      <c r="L329" s="135" t="s">
        <v>24</v>
      </c>
      <c r="M329" s="135" t="s">
        <v>25</v>
      </c>
      <c r="N329" s="135" t="s">
        <v>26</v>
      </c>
      <c r="O329" s="135" t="s">
        <v>27</v>
      </c>
      <c r="P329" s="135" t="s">
        <v>28</v>
      </c>
      <c r="Q329" s="135" t="s">
        <v>29</v>
      </c>
      <c r="R329" s="26" t="s">
        <v>99</v>
      </c>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row>
    <row r="330" spans="1:95" s="25" customFormat="1" ht="15" hidden="1" customHeight="1" outlineLevel="1" x14ac:dyDescent="0.25">
      <c r="A330" s="27"/>
      <c r="B330" s="91" t="s">
        <v>30</v>
      </c>
      <c r="C330" s="138"/>
      <c r="D330" s="138"/>
      <c r="E330" s="138"/>
      <c r="F330" s="138"/>
      <c r="G330" s="138"/>
      <c r="H330" s="138"/>
      <c r="I330" s="138"/>
      <c r="J330" s="138"/>
      <c r="K330" s="138"/>
      <c r="L330" s="138"/>
      <c r="M330" s="138"/>
      <c r="N330" s="138"/>
      <c r="O330" s="138"/>
      <c r="P330" s="138"/>
      <c r="Q330" s="136"/>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row>
    <row r="331" spans="1:95" s="25" customFormat="1" ht="15" hidden="1" customHeight="1" outlineLevel="1" x14ac:dyDescent="0.25">
      <c r="A331" s="27"/>
      <c r="B331" s="92" t="s">
        <v>16</v>
      </c>
      <c r="C331" s="110"/>
      <c r="D331" s="145">
        <v>0</v>
      </c>
      <c r="E331" s="145">
        <f>-(HLOOKUP(Noise_3dB_bands,Dementia_values_3dB_table,2,0))</f>
        <v>0</v>
      </c>
      <c r="F331" s="145">
        <f>-(HLOOKUP(Noise_3dB_bands,Dementia_values_3dB_table,2,0)) + Without_45_with_45_48_Dementia_value</f>
        <v>-8.8270399627425995</v>
      </c>
      <c r="G331" s="145">
        <f>-(HLOOKUP(Noise_3dB_bands,Dementia_values_3dB_table,2,0)) +Without_45_with_48_51_Dementia_value</f>
        <v>-19.480629766332125</v>
      </c>
      <c r="H331" s="145">
        <f>-(HLOOKUP(Noise_3dB_bands,Dementia_values_3dB_table,2,0)) +Without_45_with_51_54_Dementia_value</f>
        <v>-30.202576630951313</v>
      </c>
      <c r="I331" s="145">
        <f>-(HLOOKUP(Noise_3dB_bands,Dementia_values_3dB_table,2,0)) +Without_45_with_54_57_Dementia_value</f>
        <v>-40.993337938361158</v>
      </c>
      <c r="J331" s="145">
        <f>-(HLOOKUP(Noise_3dB_bands,Dementia_values_3dB_table,2,0)) + Without_45_with_57_60_Dementia_value</f>
        <v>-51.853374254461016</v>
      </c>
      <c r="K331" s="145">
        <f>-(HLOOKUP(Noise_3dB_bands,Dementia_values_3dB_table,2,0)) +Without_45_with_60_63_Dementia_value</f>
        <v>-62.783149352270236</v>
      </c>
      <c r="L331" s="145">
        <f>-(HLOOKUP(Noise_3dB_bands,Dementia_values_3dB_table,2,0)) +Without_45_with_63_66_Dementia_value</f>
        <v>-73.783130235081416</v>
      </c>
      <c r="M331" s="145">
        <f>-(HLOOKUP(Noise_3dB_bands,Dementia_values_3dB_table,2,0)) +Without_45_with_66_69_Dementia_value</f>
        <v>-84.853787159785554</v>
      </c>
      <c r="N331" s="145">
        <f>-(HLOOKUP(Noise_3dB_bands,Dementia_values_3dB_table,2,0)) +Without_45_with_69_72_Dementia_value</f>
        <v>-95.995593660371497</v>
      </c>
      <c r="O331" s="145">
        <f>-(HLOOKUP(Noise_3dB_bands,Dementia_values_3dB_table,2,0)) +Without_45_with_72_75_Dementia_value</f>
        <v>-107.20502512619117</v>
      </c>
      <c r="P331" s="145">
        <f>-(HLOOKUP(Noise_3dB_bands,Dementia_values_3dB_table,2,0)) +Without_45_with_75_78_Dementia_value</f>
        <v>-118.43041788379844</v>
      </c>
      <c r="Q331" s="145">
        <f>-(HLOOKUP(Noise_3dB_bands,Dementia_values_3dB_table,2,0)) +Without_45_with_78_81_Dementia_value</f>
        <v>-129.65581064140571</v>
      </c>
      <c r="R331" s="26" t="s">
        <v>657</v>
      </c>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row>
    <row r="332" spans="1:95" s="25" customFormat="1" ht="15" hidden="1" customHeight="1" outlineLevel="1" x14ac:dyDescent="0.25">
      <c r="A332" s="27"/>
      <c r="B332" s="135" t="s">
        <v>17</v>
      </c>
      <c r="C332" s="152"/>
      <c r="D332" s="145">
        <f>-Without_45_with_45_48_Dementia_value</f>
        <v>0</v>
      </c>
      <c r="E332" s="145">
        <v>0</v>
      </c>
      <c r="F332" s="145">
        <f>-(HLOOKUP(Noise_3dB_bands,Dementia_values_3dB_table,2,0))</f>
        <v>-8.8270399627425995</v>
      </c>
      <c r="G332" s="145">
        <f>-(HLOOKUP(Noise_3dB_bands,Dementia_values_3dB_table,2,0))+Without_45_48_with_48_51_Dementia_value</f>
        <v>-19.480629766332125</v>
      </c>
      <c r="H332" s="145">
        <f>-(HLOOKUP(Noise_3dB_bands,Dementia_values_3dB_table,2,0))+Without_45_48_with_51_54_Dementia_value</f>
        <v>-30.202576630951313</v>
      </c>
      <c r="I332" s="145">
        <f>-(HLOOKUP(Noise_3dB_bands,Dementia_values_3dB_table,2,0))+Without_45_48_with_54_57_Dementia_value</f>
        <v>-40.993337938361158</v>
      </c>
      <c r="J332" s="145">
        <f>-(HLOOKUP(Noise_3dB_bands,Dementia_values_3dB_table,2,0))+Without_45_48_with_57_60_Dementia_value</f>
        <v>-51.853374254461016</v>
      </c>
      <c r="K332" s="145">
        <f>-(HLOOKUP(Noise_3dB_bands,Dementia_values_3dB_table,2,0))+Without_45_48_with_60_63_Dementia_value</f>
        <v>-62.783149352270236</v>
      </c>
      <c r="L332" s="145">
        <f>-(HLOOKUP(Noise_3dB_bands,Dementia_values_3dB_table,2,0))+Without_45_48_with_63_66_Dementia_value</f>
        <v>-73.783130235081416</v>
      </c>
      <c r="M332" s="145">
        <f>-(HLOOKUP(Noise_3dB_bands,Dementia_values_3dB_table,2,0))+Without_45_48_with_66_69_Dementia_value</f>
        <v>-84.853787159785554</v>
      </c>
      <c r="N332" s="145">
        <f>-(HLOOKUP(Noise_3dB_bands,Dementia_values_3dB_table,2,0))+Without_45_48_with_69_72_Dementia_value</f>
        <v>-95.995593660371497</v>
      </c>
      <c r="O332" s="145">
        <f>-(HLOOKUP(Noise_3dB_bands,Dementia_values_3dB_table,2,0))+Without_45_48_with_72_75_Dementia_value</f>
        <v>-107.20502512619117</v>
      </c>
      <c r="P332" s="145">
        <f>-(HLOOKUP(Noise_3dB_bands,Dementia_values_3dB_table,2,0))+Without_45_48_with_75_78_Dementia_value</f>
        <v>-118.43041788379844</v>
      </c>
      <c r="Q332" s="145">
        <f>-(HLOOKUP(Noise_3dB_bands,Dementia_values_3dB_table,2,0))+Without_45_48_with_78_81_Dementia_value</f>
        <v>-129.65581064140571</v>
      </c>
      <c r="R332" s="26" t="s">
        <v>658</v>
      </c>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row>
    <row r="333" spans="1:95" s="25" customFormat="1" ht="15" hidden="1" customHeight="1" outlineLevel="1" x14ac:dyDescent="0.25">
      <c r="A333" s="27"/>
      <c r="B333" s="135" t="s">
        <v>18</v>
      </c>
      <c r="C333" s="152"/>
      <c r="D333" s="145">
        <f>-Without_45_with_48_51_Dementia_value</f>
        <v>8.8270399627425995</v>
      </c>
      <c r="E333" s="145">
        <f>-Without_45_48_with_48_51_Dementia_value</f>
        <v>8.8270399627425995</v>
      </c>
      <c r="F333" s="145">
        <v>0</v>
      </c>
      <c r="G333" s="145">
        <f>-(HLOOKUP(Noise_3dB_bands,Dementia_values_3dB_table,2,0))</f>
        <v>-10.653589803589526</v>
      </c>
      <c r="H333" s="145">
        <f>-(HLOOKUP(Noise_3dB_bands,Dementia_values_3dB_table,2,0))+Without_48_51_with_51_54_Dementia_value</f>
        <v>-21.375536668208717</v>
      </c>
      <c r="I333" s="145">
        <f>-(HLOOKUP(Noise_3dB_bands,Dementia_values_3dB_table,2,0))+Without_48_51_with_54_57_Dementia_value</f>
        <v>-32.166297975618562</v>
      </c>
      <c r="J333" s="145">
        <f>-(HLOOKUP(Noise_3dB_bands,Dementia_values_3dB_table,2,0))+Without_48_51_with_57_60_Dementia_value</f>
        <v>-43.02633429171842</v>
      </c>
      <c r="K333" s="145">
        <f>-(HLOOKUP(Noise_3dB_bands,Dementia_values_3dB_table,2,0))+Without_48_51_with_60_63_Dementia_value</f>
        <v>-53.95610938952764</v>
      </c>
      <c r="L333" s="145">
        <f>-(HLOOKUP(Noise_3dB_bands,Dementia_values_3dB_table,2,0))+Without_48_51_with_63_66_Dementia_value</f>
        <v>-64.956090272338812</v>
      </c>
      <c r="M333" s="145">
        <f>-(HLOOKUP(Noise_3dB_bands,Dementia_values_3dB_table,2,0))+Without_48_51_with_66_69_Dementia_value</f>
        <v>-76.026747197042951</v>
      </c>
      <c r="N333" s="145">
        <f>-(HLOOKUP(Noise_3dB_bands,Dementia_values_3dB_table,2,0))+Without_48_51_with_69_72_Dementia_value</f>
        <v>-87.168553697628894</v>
      </c>
      <c r="O333" s="145">
        <f>-(HLOOKUP(Noise_3dB_bands,Dementia_values_3dB_table,2,0))+Without_48_51_with_72_75_Dementia_value</f>
        <v>-98.377985163448571</v>
      </c>
      <c r="P333" s="145">
        <f>-(HLOOKUP(Noise_3dB_bands,Dementia_values_3dB_table,2,0))+Without_48_51_with_75_78_Dementia_value</f>
        <v>-109.60337792105584</v>
      </c>
      <c r="Q333" s="145">
        <f>-(HLOOKUP(Noise_3dB_bands,Dementia_values_3dB_table,2,0))+Without_48_51_with_78_81_Dementia_value</f>
        <v>-120.8287706786631</v>
      </c>
      <c r="R333" s="26" t="s">
        <v>659</v>
      </c>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row>
    <row r="334" spans="1:95" s="25" customFormat="1" ht="15" hidden="1" customHeight="1" outlineLevel="1" x14ac:dyDescent="0.25">
      <c r="A334" s="27"/>
      <c r="B334" s="135" t="s">
        <v>19</v>
      </c>
      <c r="C334" s="152"/>
      <c r="D334" s="145">
        <f>-Without_45_with_51_54_Dementia_value</f>
        <v>19.480629766332125</v>
      </c>
      <c r="E334" s="145">
        <f>-Without_45_48_with_51_54_Dementia_value</f>
        <v>19.480629766332125</v>
      </c>
      <c r="F334" s="145">
        <f>-Without_48_51_with_51_54_Dementia_value</f>
        <v>10.653589803589526</v>
      </c>
      <c r="G334" s="145">
        <v>0</v>
      </c>
      <c r="H334" s="145">
        <f>-(HLOOKUP(Noise_3dB_bands,Dementia_values_3dB_table,2,0))</f>
        <v>-10.72194686461919</v>
      </c>
      <c r="I334" s="145">
        <f>-(HLOOKUP(Noise_3dB_bands,Dementia_values_3dB_table,2,0))+Without_51_54_with_54_57_Dementia_value</f>
        <v>-21.512708172029033</v>
      </c>
      <c r="J334" s="145">
        <f>-(HLOOKUP(Noise_3dB_bands,Dementia_values_3dB_table,2,0))+Without_51_54_with_57_60_Dementia_value</f>
        <v>-32.372744488128895</v>
      </c>
      <c r="K334" s="145">
        <f>-(HLOOKUP(Noise_3dB_bands,Dementia_values_3dB_table,2,0))+Without_51_54_with_60_63_Dementia_value</f>
        <v>-43.302519585938114</v>
      </c>
      <c r="L334" s="145">
        <f>-(HLOOKUP(Noise_3dB_bands,Dementia_values_3dB_table,2,0))+Without_51_54_with_63_66_Dementia_value</f>
        <v>-54.302500468749287</v>
      </c>
      <c r="M334" s="145">
        <f>-(HLOOKUP(Noise_3dB_bands,Dementia_values_3dB_table,2,0))+Without_51_54_with_66_69_Dementia_value</f>
        <v>-65.373157393453425</v>
      </c>
      <c r="N334" s="145">
        <f>-(HLOOKUP(Noise_3dB_bands,Dementia_values_3dB_table,2,0))+Without_51_54_with_69_72_Dementia_value</f>
        <v>-76.514963894039369</v>
      </c>
      <c r="O334" s="145">
        <f>-(HLOOKUP(Noise_3dB_bands,Dementia_values_3dB_table,2,0))+Without_51_54_with_72_75_Dementia_value</f>
        <v>-87.724395359859045</v>
      </c>
      <c r="P334" s="145">
        <f>-(HLOOKUP(Noise_3dB_bands,Dementia_values_3dB_table,2,0))+Without_51_54_with_75_78_Dementia_value</f>
        <v>-98.949788117466312</v>
      </c>
      <c r="Q334" s="145">
        <f>-(HLOOKUP(Noise_3dB_bands,Dementia_values_3dB_table,2,0))+Without_51_54_with_78_81_Dementia_value</f>
        <v>-110.17518087507358</v>
      </c>
      <c r="R334" s="26" t="s">
        <v>660</v>
      </c>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row>
    <row r="335" spans="1:95" s="25" customFormat="1" ht="15" hidden="1" customHeight="1" outlineLevel="1" x14ac:dyDescent="0.25">
      <c r="A335" s="27"/>
      <c r="B335" s="135" t="s">
        <v>20</v>
      </c>
      <c r="C335" s="152"/>
      <c r="D335" s="145">
        <f>-Without_45_with_54_57_Dementia_value</f>
        <v>30.202576630951313</v>
      </c>
      <c r="E335" s="145">
        <f>-Without_45_48_with_54_57_Dementia_value</f>
        <v>30.202576630951313</v>
      </c>
      <c r="F335" s="145">
        <f>-Without_48_51_with_54_57_Dementia_value</f>
        <v>21.375536668208717</v>
      </c>
      <c r="G335" s="145">
        <f>-Without_51_54_with_54_57_Dementia_value</f>
        <v>10.72194686461919</v>
      </c>
      <c r="H335" s="145">
        <v>0</v>
      </c>
      <c r="I335" s="145">
        <f>-(HLOOKUP(Noise_3dB_bands,Dementia_values_3dB_table,2,0))</f>
        <v>-10.790761307409843</v>
      </c>
      <c r="J335" s="145">
        <f>-(HLOOKUP(Noise_3dB_bands,Dementia_values_3dB_table,2,0))+Without_54_57_with_57_60_Dementia_value</f>
        <v>-21.650797623509703</v>
      </c>
      <c r="K335" s="145">
        <f>-(HLOOKUP(Noise_3dB_bands,Dementia_values_3dB_table,2,0))+Without_54_57_with_60_63_Dementia_value</f>
        <v>-32.580572721318923</v>
      </c>
      <c r="L335" s="145">
        <f>-(HLOOKUP(Noise_3dB_bands,Dementia_values_3dB_table,2,0))+Without_54_57_with_63_66_Dementia_value</f>
        <v>-43.580553604130095</v>
      </c>
      <c r="M335" s="145">
        <f>-(HLOOKUP(Noise_3dB_bands,Dementia_values_3dB_table,2,0))+Without_54_57_with_66_69_Dementia_value</f>
        <v>-54.651210528834234</v>
      </c>
      <c r="N335" s="145">
        <f>-(HLOOKUP(Noise_3dB_bands,Dementia_values_3dB_table,2,0))+Without_54_57_with_69_72_Dementia_value</f>
        <v>-65.79301702942017</v>
      </c>
      <c r="O335" s="145">
        <f>-(HLOOKUP(Noise_3dB_bands,Dementia_values_3dB_table,2,0))+Without_54_57_with_72_75_Dementia_value</f>
        <v>-77.002448495239847</v>
      </c>
      <c r="P335" s="145">
        <f>-(HLOOKUP(Noise_3dB_bands,Dementia_values_3dB_table,2,0))+Without_54_57_with_75_78_Dementia_value</f>
        <v>-88.227841252847114</v>
      </c>
      <c r="Q335" s="145">
        <f>-(HLOOKUP(Noise_3dB_bands,Dementia_values_3dB_table,2,0))+Without_54_57_with_78_81_Dementia_value</f>
        <v>-99.453234010454381</v>
      </c>
      <c r="R335" s="26" t="s">
        <v>661</v>
      </c>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row>
    <row r="336" spans="1:95" s="25" customFormat="1" ht="15" hidden="1" customHeight="1" outlineLevel="1" x14ac:dyDescent="0.25">
      <c r="A336" s="27"/>
      <c r="B336" s="135" t="s">
        <v>21</v>
      </c>
      <c r="C336" s="152"/>
      <c r="D336" s="145">
        <f>-Without_45_with_57_60_Dementia_value</f>
        <v>40.993337938361158</v>
      </c>
      <c r="E336" s="145">
        <f>-Without_45_48_with_57_60_Dementia_value</f>
        <v>40.993337938361158</v>
      </c>
      <c r="F336" s="145">
        <f>-Without_48_51_with_57_60_Dementia_value</f>
        <v>32.166297975618562</v>
      </c>
      <c r="G336" s="145">
        <f>-Without_51_54_with_57_60_Dementia_value</f>
        <v>21.512708172029033</v>
      </c>
      <c r="H336" s="145">
        <f>-Without_54_57_with_57_60_Dementia_value</f>
        <v>10.790761307409843</v>
      </c>
      <c r="I336" s="145">
        <v>0</v>
      </c>
      <c r="J336" s="145">
        <f>-(HLOOKUP(Noise_3dB_bands,Dementia_values_3dB_table,2,0))</f>
        <v>-10.86003631609986</v>
      </c>
      <c r="K336" s="145">
        <f>-(HLOOKUP(Noise_3dB_bands,Dementia_values_3dB_table,2,0))+Without_57_60_with_60_63_Dementia_value</f>
        <v>-21.789811413909078</v>
      </c>
      <c r="L336" s="145">
        <f>-(HLOOKUP(Noise_3dB_bands,Dementia_values_3dB_table,2,0))+Without_57_60_with_63_66_Dementia_value</f>
        <v>-32.78979229672025</v>
      </c>
      <c r="M336" s="145">
        <f>-(HLOOKUP(Noise_3dB_bands,Dementia_values_3dB_table,2,0))+Without_57_60_with_66_69_Dementia_value</f>
        <v>-43.860449221424389</v>
      </c>
      <c r="N336" s="145">
        <f>-(HLOOKUP(Noise_3dB_bands,Dementia_values_3dB_table,2,0))+Without_57_60_with_69_72_Dementia_value</f>
        <v>-55.002255722010332</v>
      </c>
      <c r="O336" s="145">
        <f>-(HLOOKUP(Noise_3dB_bands,Dementia_values_3dB_table,2,0))+Without_57_60_with_72_75_Dementia_value</f>
        <v>-66.211687187830009</v>
      </c>
      <c r="P336" s="145">
        <f>-(HLOOKUP(Noise_3dB_bands,Dementia_values_3dB_table,2,0))+Without_57_60_with_75_78_Dementia_value</f>
        <v>-77.437079945437276</v>
      </c>
      <c r="Q336" s="145">
        <f>-(HLOOKUP(Noise_3dB_bands,Dementia_values_3dB_table,2,0))+Without_57_60_with_78_81_Dementia_value</f>
        <v>-88.662472703044543</v>
      </c>
      <c r="R336" s="26" t="s">
        <v>662</v>
      </c>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row>
    <row r="337" spans="1:96" s="25" customFormat="1" ht="15" hidden="1" customHeight="1" outlineLevel="1" x14ac:dyDescent="0.25">
      <c r="A337" s="27"/>
      <c r="B337" s="135" t="s">
        <v>22</v>
      </c>
      <c r="C337" s="152"/>
      <c r="D337" s="145">
        <f>-Without_45_with_60_63_Dementia_value</f>
        <v>51.853374254461016</v>
      </c>
      <c r="E337" s="145">
        <f>-Without_45_48_with_60_63_Dementia_value</f>
        <v>51.853374254461016</v>
      </c>
      <c r="F337" s="145">
        <f>-Without_48_51_with_60_63_Dementia_value</f>
        <v>43.02633429171842</v>
      </c>
      <c r="G337" s="145">
        <f>-Without_51_54_with_60_63_Dementia_value</f>
        <v>32.372744488128895</v>
      </c>
      <c r="H337" s="145">
        <f>-Without_54_57_with_60_63_Dementia_value</f>
        <v>21.650797623509703</v>
      </c>
      <c r="I337" s="145">
        <f>-Without_57_60_with_60_63_Dementia_value</f>
        <v>10.86003631609986</v>
      </c>
      <c r="J337" s="145">
        <v>0</v>
      </c>
      <c r="K337" s="145">
        <f>-(HLOOKUP(Noise_3dB_bands,Dementia_values_3dB_table,2,0))</f>
        <v>-10.92977509780922</v>
      </c>
      <c r="L337" s="145">
        <f>-(HLOOKUP(Noise_3dB_bands,Dementia_values_3dB_table,2,0))+Without_60_63_with_63_66_Dementia_value</f>
        <v>-21.929755980620392</v>
      </c>
      <c r="M337" s="145">
        <f>-(HLOOKUP(Noise_3dB_bands,Dementia_values_3dB_table,2,0))+Without_60_63_with_66_69_Dementia_value</f>
        <v>-33.000412905324531</v>
      </c>
      <c r="N337" s="145">
        <f>-(HLOOKUP(Noise_3dB_bands,Dementia_values_3dB_table,2,0))+Without_60_63_with_69_72_Dementia_value</f>
        <v>-44.142219405910467</v>
      </c>
      <c r="O337" s="145">
        <f>-(HLOOKUP(Noise_3dB_bands,Dementia_values_3dB_table,2,0))+Without_60_63_with_72_75_Dementia_value</f>
        <v>-55.351650871730143</v>
      </c>
      <c r="P337" s="145">
        <f>-(HLOOKUP(Noise_3dB_bands,Dementia_values_3dB_table,2,0))+Without_60_63_with_75_78_Dementia_value</f>
        <v>-66.57704362933741</v>
      </c>
      <c r="Q337" s="145">
        <f>-(HLOOKUP(Noise_3dB_bands,Dementia_values_3dB_table,2,0))+Without_60_63_with_78_81_Dementia_value</f>
        <v>-77.802436386944677</v>
      </c>
      <c r="R337" s="26" t="s">
        <v>663</v>
      </c>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row>
    <row r="338" spans="1:96" s="25" customFormat="1" ht="15" hidden="1" customHeight="1" outlineLevel="1" x14ac:dyDescent="0.25">
      <c r="A338" s="27"/>
      <c r="B338" s="135" t="s">
        <v>23</v>
      </c>
      <c r="C338" s="152"/>
      <c r="D338" s="145">
        <f>-Without_45_with_63_66_Dementia_value</f>
        <v>62.783149352270236</v>
      </c>
      <c r="E338" s="145">
        <f>-Without_45_48_with_63_66_Dementia_value</f>
        <v>62.783149352270236</v>
      </c>
      <c r="F338" s="145">
        <f>-Without_48_51_with_63_66_Dementia_value</f>
        <v>53.95610938952764</v>
      </c>
      <c r="G338" s="145">
        <f>-Without_51_54_with_63_66_Dementia_value</f>
        <v>43.302519585938114</v>
      </c>
      <c r="H338" s="145">
        <f>-Without_54_57_with_63_66_Dementia_value</f>
        <v>32.580572721318923</v>
      </c>
      <c r="I338" s="145">
        <f>-Without_57_60_with_63_66_Dementia_value</f>
        <v>21.789811413909078</v>
      </c>
      <c r="J338" s="145">
        <f>-Without_60_63_with_63_66_Dementia_value</f>
        <v>10.92977509780922</v>
      </c>
      <c r="K338" s="145">
        <v>0</v>
      </c>
      <c r="L338" s="145">
        <f>-(HLOOKUP(Noise_3dB_bands,Dementia_values_3dB_table,2,0))</f>
        <v>-10.999980882811172</v>
      </c>
      <c r="M338" s="145">
        <f>-(HLOOKUP(Noise_3dB_bands,Dementia_values_3dB_table,2,0))+Without_63_66_with_66_69_Dementia_value</f>
        <v>-22.070637807515311</v>
      </c>
      <c r="N338" s="145">
        <f>-(HLOOKUP(Noise_3dB_bands,Dementia_values_3dB_table,2,0))+Without_63_66_with_69_72_Dementia_value</f>
        <v>-33.212444308101254</v>
      </c>
      <c r="O338" s="145">
        <f>-(HLOOKUP(Noise_3dB_bands,Dementia_values_3dB_table,2,0))+Without_63_66_with_72_75_Dementia_value</f>
        <v>-44.421875773920931</v>
      </c>
      <c r="P338" s="145">
        <f>-(HLOOKUP(Noise_3dB_bands,Dementia_values_3dB_table,2,0))+Without_63_66_with_75_78_Dementia_value</f>
        <v>-55.647268531528191</v>
      </c>
      <c r="Q338" s="145">
        <f>-(HLOOKUP(Noise_3dB_bands,Dementia_values_3dB_table,2,0))+Without_63_66_with_78_81_Dementia_value</f>
        <v>-66.872661289135451</v>
      </c>
      <c r="R338" s="26" t="s">
        <v>664</v>
      </c>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row>
    <row r="339" spans="1:96" s="8" customFormat="1" ht="15" hidden="1" customHeight="1" outlineLevel="1" x14ac:dyDescent="0.25">
      <c r="A339" s="89"/>
      <c r="B339" s="135" t="s">
        <v>24</v>
      </c>
      <c r="C339" s="152"/>
      <c r="D339" s="145">
        <f>-Without_45_with_66_69_Dementia_value</f>
        <v>73.783130235081416</v>
      </c>
      <c r="E339" s="145">
        <f>-Without_45_48_with_66_69_Dementia_value</f>
        <v>73.783130235081416</v>
      </c>
      <c r="F339" s="145">
        <f>-Without_48_51_with_66_69_Dementia_value</f>
        <v>64.956090272338812</v>
      </c>
      <c r="G339" s="145">
        <f>-Without_51_54_with_66_69_Dementia_value</f>
        <v>54.302500468749287</v>
      </c>
      <c r="H339" s="145">
        <f>-Without_54_57_with_66_69_Dementia_value</f>
        <v>43.580553604130095</v>
      </c>
      <c r="I339" s="145">
        <f>-Without_57_60_with_66_69_Dementia_value</f>
        <v>32.78979229672025</v>
      </c>
      <c r="J339" s="145">
        <f>-Without_60_63_with_66_69_Dementia_value</f>
        <v>21.929755980620392</v>
      </c>
      <c r="K339" s="145">
        <f>-Without_63_66_with_66_69_Dementia_value</f>
        <v>10.999980882811172</v>
      </c>
      <c r="L339" s="145">
        <v>0</v>
      </c>
      <c r="M339" s="145">
        <f>-(HLOOKUP(Noise_3dB_bands,Dementia_values_3dB_table,2,0))</f>
        <v>-11.070656924704137</v>
      </c>
      <c r="N339" s="145">
        <f>-(HLOOKUP(Noise_3dB_bands,Dementia_values_3dB_table,2,0))+Without_66_69_with_69_72_Dementia_value</f>
        <v>-22.212463425290075</v>
      </c>
      <c r="O339" s="145">
        <f>-(HLOOKUP(Noise_3dB_bands,Dementia_values_3dB_table,2,0))+Without_66_69_with_72_75_Dementia_value</f>
        <v>-33.421894891109744</v>
      </c>
      <c r="P339" s="145">
        <f>-(HLOOKUP(Noise_3dB_bands,Dementia_values_3dB_table,2,0))+Without_66_69_with_75_78_Dementia_value</f>
        <v>-44.647287648717004</v>
      </c>
      <c r="Q339" s="145">
        <f>-(HLOOKUP(Noise_3dB_bands,Dementia_values_3dB_table,2,0))+Without_66_69_with_78_81_Dementia_value</f>
        <v>-55.872680406324264</v>
      </c>
      <c r="R339" s="26" t="s">
        <v>665</v>
      </c>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89"/>
      <c r="CD339" s="89"/>
      <c r="CE339" s="89"/>
      <c r="CF339" s="89"/>
      <c r="CG339" s="89"/>
      <c r="CH339" s="89"/>
      <c r="CI339" s="89"/>
      <c r="CJ339" s="89"/>
      <c r="CK339" s="89"/>
      <c r="CL339" s="89"/>
      <c r="CM339" s="89"/>
      <c r="CN339" s="89"/>
      <c r="CO339" s="89"/>
      <c r="CP339" s="89"/>
      <c r="CQ339" s="89"/>
    </row>
    <row r="340" spans="1:96" s="8" customFormat="1" ht="15" hidden="1" customHeight="1" outlineLevel="1" x14ac:dyDescent="0.25">
      <c r="A340" s="89"/>
      <c r="B340" s="135" t="s">
        <v>25</v>
      </c>
      <c r="C340" s="152"/>
      <c r="D340" s="145">
        <f>-Without_45_with_69_72_Dementia_value</f>
        <v>84.853787159785554</v>
      </c>
      <c r="E340" s="145">
        <f>-Without_45_48_with_69_72_Dementia_value</f>
        <v>84.853787159785554</v>
      </c>
      <c r="F340" s="145">
        <f>-Without_48_51_with_69_72_Dementia_value</f>
        <v>76.026747197042951</v>
      </c>
      <c r="G340" s="145">
        <f>-Without_51_54_with_69_72_Dementia_value</f>
        <v>65.373157393453425</v>
      </c>
      <c r="H340" s="145">
        <f>-Without_54_57_with_69_72_Dementia_value</f>
        <v>54.651210528834234</v>
      </c>
      <c r="I340" s="145">
        <f>-Without_57_60_with_69_72_Dementia_value</f>
        <v>43.860449221424389</v>
      </c>
      <c r="J340" s="145">
        <f>-Without_60_63_with_69_72_Dementia_value</f>
        <v>33.000412905324531</v>
      </c>
      <c r="K340" s="145">
        <f>-Without_63_66_with_69_72_Dementia_value</f>
        <v>22.070637807515311</v>
      </c>
      <c r="L340" s="145">
        <f>-Without_66_69_with_69_72_Dementia_value</f>
        <v>11.070656924704137</v>
      </c>
      <c r="M340" s="145">
        <v>0</v>
      </c>
      <c r="N340" s="145">
        <f>-(HLOOKUP(Noise_3dB_bands,Dementia_values_3dB_table,2,0))</f>
        <v>-11.14180650058594</v>
      </c>
      <c r="O340" s="145">
        <f>-(HLOOKUP(Noise_3dB_bands,Dementia_values_3dB_table,2,0))+Without_69_72_with_72_75_Dementia_value</f>
        <v>-22.351237966405613</v>
      </c>
      <c r="P340" s="145">
        <f>-(HLOOKUP(Noise_3dB_bands,Dementia_values_3dB_table,2,0))+Without_69_72_with_75_78_Dementia_value</f>
        <v>-33.576630724012873</v>
      </c>
      <c r="Q340" s="145">
        <f>-(HLOOKUP(Noise_3dB_bands,Dementia_values_3dB_table,2,0))+Without_69_72_with_78_81_Dementia_value</f>
        <v>-44.802023481620139</v>
      </c>
      <c r="R340" s="26" t="s">
        <v>666</v>
      </c>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89"/>
      <c r="CD340" s="89"/>
      <c r="CE340" s="89"/>
      <c r="CF340" s="89"/>
      <c r="CG340" s="89"/>
      <c r="CH340" s="89"/>
      <c r="CI340" s="89"/>
      <c r="CJ340" s="89"/>
      <c r="CK340" s="89"/>
      <c r="CL340" s="89"/>
      <c r="CM340" s="89"/>
      <c r="CN340" s="89"/>
      <c r="CO340" s="89"/>
      <c r="CP340" s="89"/>
      <c r="CQ340" s="89"/>
    </row>
    <row r="341" spans="1:96" s="8" customFormat="1" ht="15" hidden="1" customHeight="1" outlineLevel="1" x14ac:dyDescent="0.25">
      <c r="A341" s="89"/>
      <c r="B341" s="135" t="s">
        <v>26</v>
      </c>
      <c r="C341" s="152"/>
      <c r="D341" s="145">
        <f>-Without_45_with_72_75_Dementia_value</f>
        <v>95.995593660371497</v>
      </c>
      <c r="E341" s="145">
        <f>-Without_45_48_with_72_75_Dementia_value</f>
        <v>95.995593660371497</v>
      </c>
      <c r="F341" s="145">
        <f>-Without_48_51_with_72_75_Dementia_value</f>
        <v>87.168553697628894</v>
      </c>
      <c r="G341" s="145">
        <f>-Without_51_54_with_72_75_Dementia_value</f>
        <v>76.514963894039369</v>
      </c>
      <c r="H341" s="145">
        <f>-Without_54_57_with_72_75_Dementia_value</f>
        <v>65.79301702942017</v>
      </c>
      <c r="I341" s="145">
        <f>-Without_57_60_with_72_75_Dementia_value</f>
        <v>55.002255722010332</v>
      </c>
      <c r="J341" s="145">
        <f>-Without_60_63_with_72_75_Dementia_value</f>
        <v>44.142219405910467</v>
      </c>
      <c r="K341" s="145">
        <f>-Without_63_66_with_72_75_Dementia_value</f>
        <v>33.212444308101254</v>
      </c>
      <c r="L341" s="145">
        <f>-Without_66_69_with_72_75_Dementia_value</f>
        <v>22.212463425290075</v>
      </c>
      <c r="M341" s="145">
        <f>-Without_69_72_with_72_75_Dementia_value</f>
        <v>11.14180650058594</v>
      </c>
      <c r="N341" s="145">
        <v>0</v>
      </c>
      <c r="O341" s="145">
        <f>-(HLOOKUP(Noise_3dB_bands,Dementia_values_3dB_table,2,0))</f>
        <v>-11.209431465819673</v>
      </c>
      <c r="P341" s="145">
        <f>-(HLOOKUP(Noise_3dB_bands,Dementia_values_3dB_table,2,0))+Without_72_75_with_75_78_Dementia_value</f>
        <v>-22.434824223426936</v>
      </c>
      <c r="Q341" s="145">
        <f>-(HLOOKUP(Noise_3dB_bands,Dementia_values_3dB_table,2,0))+Without_72_75_with_78_81_Dementia_value</f>
        <v>-33.660216981034196</v>
      </c>
      <c r="R341" s="26" t="s">
        <v>667</v>
      </c>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row>
    <row r="342" spans="1:96" s="8" customFormat="1" ht="15" hidden="1" customHeight="1" outlineLevel="1" x14ac:dyDescent="0.25">
      <c r="A342" s="89"/>
      <c r="B342" s="135" t="s">
        <v>27</v>
      </c>
      <c r="C342" s="152"/>
      <c r="D342" s="145">
        <f>-Without_45_with_75_78_Dementia_value</f>
        <v>107.20502512619117</v>
      </c>
      <c r="E342" s="145">
        <f>-Without_45_48_with_75_78_Dementia_value</f>
        <v>107.20502512619117</v>
      </c>
      <c r="F342" s="145">
        <f>-Without_48_51_with_75_78_Dementia_value</f>
        <v>98.377985163448571</v>
      </c>
      <c r="G342" s="145">
        <f>-Without_51_54_with_75_78_Dementia_value</f>
        <v>87.724395359859045</v>
      </c>
      <c r="H342" s="145">
        <f>-Without_54_57_with_75_78_Dementia_value</f>
        <v>77.002448495239847</v>
      </c>
      <c r="I342" s="145">
        <f>-Without_57_60_with_75_78_Dementia_value</f>
        <v>66.211687187830009</v>
      </c>
      <c r="J342" s="145">
        <f>-Without_60_63_with_75_78_Dementia_value</f>
        <v>55.351650871730143</v>
      </c>
      <c r="K342" s="145">
        <f>-Without_63_66_with_75_78_Dementia_value</f>
        <v>44.421875773920931</v>
      </c>
      <c r="L342" s="145">
        <f>-Without_66_69_with_75_78_Dementia_value</f>
        <v>33.421894891109744</v>
      </c>
      <c r="M342" s="145">
        <f>-Without_69_72_with_75_78_Dementia_value</f>
        <v>22.351237966405613</v>
      </c>
      <c r="N342" s="145">
        <f>-Without_72_75_with_75_78_Dementia_value</f>
        <v>11.209431465819673</v>
      </c>
      <c r="O342" s="145">
        <v>0</v>
      </c>
      <c r="P342" s="145">
        <f>-(HLOOKUP(Noise_3dB_bands,Dementia_values_3dB_table,2,0))</f>
        <v>-11.225392757607262</v>
      </c>
      <c r="Q342" s="145">
        <f>-(HLOOKUP(Noise_3dB_bands,Dementia_values_3dB_table,2,0))+Without_75_78_with_78_81_Dementia_value</f>
        <v>-22.450785515214527</v>
      </c>
      <c r="R342" s="26" t="s">
        <v>668</v>
      </c>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c r="CR342" s="28"/>
    </row>
    <row r="343" spans="1:96" s="8" customFormat="1" ht="15" hidden="1" customHeight="1" outlineLevel="1" x14ac:dyDescent="0.25">
      <c r="A343" s="89"/>
      <c r="B343" s="135" t="s">
        <v>28</v>
      </c>
      <c r="C343" s="152"/>
      <c r="D343" s="145">
        <f>-Without_45_with_78_81_Dementia_value</f>
        <v>118.43041788379844</v>
      </c>
      <c r="E343" s="145">
        <f>-Without_45_48_with_78_81_Dementia_value</f>
        <v>118.43041788379844</v>
      </c>
      <c r="F343" s="145">
        <f>-Without_48_51_with_78_81_Dementia_value</f>
        <v>109.60337792105584</v>
      </c>
      <c r="G343" s="145">
        <f>-Without_51_54_with_78_81_Dementia_value</f>
        <v>98.949788117466312</v>
      </c>
      <c r="H343" s="145">
        <f>-Without_54_57_with_78_81_Dementia_value</f>
        <v>88.227841252847114</v>
      </c>
      <c r="I343" s="145">
        <f>-Without_57_60_with_78_81_Dementia_value</f>
        <v>77.437079945437276</v>
      </c>
      <c r="J343" s="145">
        <f>-Without_60_63_with_78_81_Dementia_value</f>
        <v>66.57704362933741</v>
      </c>
      <c r="K343" s="145">
        <f>-Without_63_66_with_78_81_Dementia_value</f>
        <v>55.647268531528191</v>
      </c>
      <c r="L343" s="145">
        <f>-Without_66_69_with_78_81_Dementia_value</f>
        <v>44.647287648717004</v>
      </c>
      <c r="M343" s="145">
        <f>-Without_69_72_with_78_81_Dementia_value</f>
        <v>33.576630724012873</v>
      </c>
      <c r="N343" s="145">
        <f>-Without_72_75_with_78_81_Dementia_value</f>
        <v>22.434824223426936</v>
      </c>
      <c r="O343" s="145">
        <f>-Without_75_78_with_78_81_Dementia_value</f>
        <v>11.225392757607262</v>
      </c>
      <c r="P343" s="145">
        <v>0</v>
      </c>
      <c r="Q343" s="145">
        <f>-(HLOOKUP(Noise_3dB_bands,Dementia_values_3dB_table,2,0))</f>
        <v>-11.225392757607263</v>
      </c>
      <c r="R343" s="26" t="s">
        <v>669</v>
      </c>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28"/>
    </row>
    <row r="344" spans="1:96" s="8" customFormat="1" ht="15" hidden="1" customHeight="1" outlineLevel="1" x14ac:dyDescent="0.25">
      <c r="A344" s="89"/>
      <c r="B344" s="135" t="s">
        <v>29</v>
      </c>
      <c r="C344" s="153"/>
      <c r="D344" s="145">
        <f>-Without_45_with_81_Dementia_value</f>
        <v>129.65581064140571</v>
      </c>
      <c r="E344" s="145">
        <f>-Without_45_48_with_81_Dementia_value</f>
        <v>129.65581064140571</v>
      </c>
      <c r="F344" s="145">
        <f>-Without_48_51_with_81_Dementia_value</f>
        <v>120.8287706786631</v>
      </c>
      <c r="G344" s="145">
        <f>-Without_51_54_with_81_Dementia_value</f>
        <v>110.17518087507358</v>
      </c>
      <c r="H344" s="145">
        <f>-Without_54_57_with_81_Dementia_value</f>
        <v>99.453234010454381</v>
      </c>
      <c r="I344" s="145">
        <f>-Without_57_60_with_81_Dementia_value</f>
        <v>88.662472703044543</v>
      </c>
      <c r="J344" s="145">
        <f>-Without_60_63_with_81_Dementia_value</f>
        <v>77.802436386944677</v>
      </c>
      <c r="K344" s="145">
        <f>-Without_63_66_with_81_Dementia_value</f>
        <v>66.872661289135451</v>
      </c>
      <c r="L344" s="145">
        <f>-Without_66_69_with_81_Dementia_value</f>
        <v>55.872680406324264</v>
      </c>
      <c r="M344" s="145">
        <f>-Without_69_72_with_81_Dementia_value</f>
        <v>44.802023481620139</v>
      </c>
      <c r="N344" s="145">
        <f>-Without_72_75_with_81_Dementia_value</f>
        <v>33.660216981034196</v>
      </c>
      <c r="O344" s="145">
        <f>-Without_75_78_with_81_Dementia_value</f>
        <v>22.450785515214527</v>
      </c>
      <c r="P344" s="145">
        <f>-Without_78_81_with_81_Dementia_value</f>
        <v>11.225392757607263</v>
      </c>
      <c r="Q344" s="145">
        <v>0</v>
      </c>
      <c r="R344" s="26" t="s">
        <v>670</v>
      </c>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28"/>
    </row>
    <row r="345" spans="1:96" ht="15" hidden="1" outlineLevel="1" x14ac:dyDescent="0.25">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c r="BR345" s="131"/>
      <c r="BS345" s="131"/>
      <c r="BT345" s="131"/>
      <c r="BU345" s="131"/>
      <c r="BV345" s="131"/>
      <c r="BW345" s="131"/>
      <c r="BX345" s="131"/>
      <c r="BY345" s="131"/>
      <c r="BZ345" s="131"/>
      <c r="CA345" s="131"/>
      <c r="CB345" s="131"/>
      <c r="CC345" s="131"/>
      <c r="CD345" s="131"/>
      <c r="CE345" s="131"/>
      <c r="CF345" s="131"/>
      <c r="CG345" s="131"/>
      <c r="CH345" s="131"/>
      <c r="CI345" s="131"/>
      <c r="CJ345" s="131"/>
      <c r="CK345" s="131"/>
      <c r="CL345" s="131"/>
      <c r="CM345" s="131"/>
      <c r="CN345" s="131"/>
      <c r="CO345" s="131"/>
      <c r="CP345" s="131"/>
      <c r="CQ345" s="131"/>
    </row>
    <row r="346" spans="1:96" s="2" customFormat="1" ht="18.75" collapsed="1" x14ac:dyDescent="0.3">
      <c r="B346" s="2" t="s">
        <v>209</v>
      </c>
    </row>
    <row r="347" spans="1:96" ht="15" x14ac:dyDescent="0.25">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I347" s="131"/>
      <c r="CJ347" s="131"/>
      <c r="CK347" s="131"/>
      <c r="CL347" s="131"/>
      <c r="CM347" s="131"/>
      <c r="CN347" s="131"/>
      <c r="CO347" s="131"/>
      <c r="CP347" s="131"/>
      <c r="CQ347" s="131"/>
    </row>
    <row r="348" spans="1:96" s="5" customFormat="1" ht="15.75" hidden="1" outlineLevel="1" x14ac:dyDescent="0.25">
      <c r="B348" s="5" t="s">
        <v>258</v>
      </c>
    </row>
    <row r="349" spans="1:96" s="8" customFormat="1" ht="15" hidden="1" customHeight="1" outlineLevel="1" x14ac:dyDescent="0.25">
      <c r="A349" s="89"/>
      <c r="B349" s="133"/>
      <c r="C349" s="133"/>
      <c r="D349" s="133"/>
      <c r="E349" s="133"/>
      <c r="F349" s="133"/>
      <c r="G349" s="133"/>
      <c r="H349" s="133"/>
      <c r="I349" s="133"/>
      <c r="J349" s="133"/>
      <c r="K349" s="133"/>
      <c r="L349" s="133"/>
      <c r="M349" s="133"/>
      <c r="N349" s="133"/>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89"/>
      <c r="CD349" s="89"/>
      <c r="CE349" s="89"/>
      <c r="CF349" s="89"/>
      <c r="CG349" s="89"/>
      <c r="CH349" s="89"/>
      <c r="CI349" s="89"/>
      <c r="CJ349" s="89"/>
      <c r="CK349" s="89"/>
      <c r="CL349" s="89"/>
      <c r="CM349" s="89"/>
      <c r="CN349" s="89"/>
      <c r="CO349" s="89"/>
      <c r="CP349" s="89"/>
      <c r="CQ349" s="89"/>
    </row>
    <row r="350" spans="1:96" s="8" customFormat="1" ht="15" hidden="1" customHeight="1" outlineLevel="1" x14ac:dyDescent="0.25">
      <c r="A350" s="89"/>
      <c r="B350" s="134"/>
      <c r="C350" s="91" t="s">
        <v>15</v>
      </c>
      <c r="D350" s="92" t="s">
        <v>16</v>
      </c>
      <c r="E350" s="135" t="s">
        <v>17</v>
      </c>
      <c r="F350" s="135" t="s">
        <v>18</v>
      </c>
      <c r="G350" s="135" t="s">
        <v>19</v>
      </c>
      <c r="H350" s="135" t="s">
        <v>20</v>
      </c>
      <c r="I350" s="135" t="s">
        <v>21</v>
      </c>
      <c r="J350" s="135" t="s">
        <v>22</v>
      </c>
      <c r="K350" s="135" t="s">
        <v>23</v>
      </c>
      <c r="L350" s="135" t="s">
        <v>24</v>
      </c>
      <c r="M350" s="135" t="s">
        <v>25</v>
      </c>
      <c r="N350" s="135" t="s">
        <v>26</v>
      </c>
      <c r="O350" s="135" t="s">
        <v>27</v>
      </c>
      <c r="P350" s="135" t="s">
        <v>28</v>
      </c>
      <c r="Q350" s="135" t="s">
        <v>29</v>
      </c>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89"/>
      <c r="CD350" s="89"/>
      <c r="CE350" s="89"/>
      <c r="CF350" s="89"/>
      <c r="CG350" s="89"/>
      <c r="CH350" s="89"/>
      <c r="CI350" s="89"/>
      <c r="CJ350" s="89"/>
      <c r="CK350" s="89"/>
      <c r="CL350" s="89"/>
      <c r="CM350" s="89"/>
      <c r="CN350" s="89"/>
      <c r="CO350" s="89"/>
      <c r="CP350" s="89"/>
      <c r="CQ350" s="89"/>
    </row>
    <row r="351" spans="1:96" s="8" customFormat="1" ht="15" hidden="1" customHeight="1" outlineLevel="1" x14ac:dyDescent="0.25">
      <c r="A351" s="89"/>
      <c r="B351" s="91" t="s">
        <v>30</v>
      </c>
      <c r="C351" s="136"/>
      <c r="D351" s="137"/>
      <c r="E351" s="138"/>
      <c r="F351" s="138"/>
      <c r="G351" s="138"/>
      <c r="H351" s="138"/>
      <c r="I351" s="138"/>
      <c r="J351" s="138"/>
      <c r="K351" s="138"/>
      <c r="L351" s="138"/>
      <c r="M351" s="138"/>
      <c r="N351" s="138"/>
      <c r="O351" s="138"/>
      <c r="P351" s="138"/>
      <c r="Q351" s="136"/>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row>
    <row r="352" spans="1:96" s="8" customFormat="1" ht="15" hidden="1" customHeight="1" outlineLevel="1" x14ac:dyDescent="0.25">
      <c r="A352" s="89"/>
      <c r="B352" s="92" t="s">
        <v>16</v>
      </c>
      <c r="C352" s="139"/>
      <c r="D352" s="140">
        <f>(Opening_without_45_with_xx*Non_night_modelling_mask + Opening_without_45_with_xx_night*Night_modelling_mask)*Without_45_with_xx_sleep_disturbance_value</f>
        <v>0</v>
      </c>
      <c r="E352" s="140">
        <f t="shared" ref="E352:Q352" si="22">(Opening_without_45_with_xx*Non_night_modelling_mask + Opening_without_45_with_xx_night*Night_modelling_mask)*Without_45_with_xx_sleep_disturbance_value</f>
        <v>-51194.752273900369</v>
      </c>
      <c r="F352" s="140">
        <f t="shared" si="22"/>
        <v>-24544.195278114468</v>
      </c>
      <c r="G352" s="140">
        <f t="shared" si="22"/>
        <v>-10855.009613533617</v>
      </c>
      <c r="H352" s="140">
        <f t="shared" si="22"/>
        <v>-5227.2726147836838</v>
      </c>
      <c r="I352" s="140">
        <f t="shared" si="22"/>
        <v>-1706.4737649422307</v>
      </c>
      <c r="J352" s="140">
        <f t="shared" si="22"/>
        <v>-3034.5307778142965</v>
      </c>
      <c r="K352" s="140">
        <f t="shared" si="22"/>
        <v>-3886.0888474535595</v>
      </c>
      <c r="L352" s="140">
        <f t="shared" si="22"/>
        <v>-2404.72787607802</v>
      </c>
      <c r="M352" s="140">
        <f t="shared" si="22"/>
        <v>0</v>
      </c>
      <c r="N352" s="140">
        <f t="shared" si="22"/>
        <v>0</v>
      </c>
      <c r="O352" s="140">
        <f t="shared" si="22"/>
        <v>0</v>
      </c>
      <c r="P352" s="140">
        <f t="shared" si="22"/>
        <v>0</v>
      </c>
      <c r="Q352" s="140">
        <f t="shared" si="22"/>
        <v>0</v>
      </c>
      <c r="R352" s="26" t="s">
        <v>224</v>
      </c>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c r="CF352" s="89"/>
      <c r="CG352" s="89"/>
      <c r="CH352" s="89"/>
      <c r="CI352" s="89"/>
      <c r="CJ352" s="89"/>
      <c r="CK352" s="89"/>
      <c r="CL352" s="89"/>
      <c r="CM352" s="89"/>
      <c r="CN352" s="89"/>
      <c r="CO352" s="89"/>
      <c r="CP352" s="89"/>
      <c r="CQ352" s="89"/>
    </row>
    <row r="353" spans="1:95" s="8" customFormat="1" ht="15" hidden="1" customHeight="1" outlineLevel="1" x14ac:dyDescent="0.25">
      <c r="A353" s="89"/>
      <c r="B353" s="135" t="s">
        <v>17</v>
      </c>
      <c r="C353" s="141"/>
      <c r="D353" s="140">
        <f t="shared" ref="D353:Q353" si="23">(Opening_without_45_48_with_xx*Non_night_modelling_mask + Opening_without_45_48_with_xx_night*Night_modelling_mask)*Without_45_48_with_xx_sleep_disturbance_value</f>
        <v>2343.5640346379018</v>
      </c>
      <c r="E353" s="140">
        <f t="shared" si="23"/>
        <v>0</v>
      </c>
      <c r="F353" s="140">
        <f t="shared" si="23"/>
        <v>-49813.537600751879</v>
      </c>
      <c r="G353" s="140">
        <f t="shared" si="23"/>
        <v>-8285.7606686970448</v>
      </c>
      <c r="H353" s="140">
        <f t="shared" si="23"/>
        <v>-7233.8323397124914</v>
      </c>
      <c r="I353" s="140">
        <f t="shared" si="23"/>
        <v>-5284.1831185480278</v>
      </c>
      <c r="J353" s="140">
        <f t="shared" si="23"/>
        <v>-3591.1320899715001</v>
      </c>
      <c r="K353" s="140">
        <f t="shared" si="23"/>
        <v>-931.11593540411582</v>
      </c>
      <c r="L353" s="140">
        <f t="shared" si="23"/>
        <v>0</v>
      </c>
      <c r="M353" s="140">
        <f t="shared" si="23"/>
        <v>-2788.1633767629701</v>
      </c>
      <c r="N353" s="140">
        <f t="shared" si="23"/>
        <v>0</v>
      </c>
      <c r="O353" s="140">
        <f t="shared" si="23"/>
        <v>0</v>
      </c>
      <c r="P353" s="140">
        <f t="shared" si="23"/>
        <v>0</v>
      </c>
      <c r="Q353" s="140">
        <f t="shared" si="23"/>
        <v>0</v>
      </c>
      <c r="R353" s="26" t="s">
        <v>225</v>
      </c>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89"/>
      <c r="CD353" s="89"/>
      <c r="CE353" s="89"/>
      <c r="CF353" s="89"/>
      <c r="CG353" s="89"/>
      <c r="CH353" s="89"/>
      <c r="CI353" s="89"/>
      <c r="CJ353" s="89"/>
      <c r="CK353" s="89"/>
      <c r="CL353" s="89"/>
      <c r="CM353" s="89"/>
      <c r="CN353" s="89"/>
      <c r="CO353" s="89"/>
      <c r="CP353" s="89"/>
      <c r="CQ353" s="89"/>
    </row>
    <row r="354" spans="1:95" s="8" customFormat="1" ht="15" hidden="1" customHeight="1" outlineLevel="1" x14ac:dyDescent="0.25">
      <c r="A354" s="89"/>
      <c r="B354" s="135" t="s">
        <v>18</v>
      </c>
      <c r="C354" s="141"/>
      <c r="D354" s="140">
        <f t="shared" ref="D354:Q354" si="24">(Opening_without_48_51_with_xx*Non_night_modelling_mask + Opening_without_48_51_with_xx_night*Night_modelling_mask)*Without_48_51_with_xx_sleep_disturbance_value</f>
        <v>1792.5535877274613</v>
      </c>
      <c r="E354" s="140">
        <f t="shared" si="24"/>
        <v>2047.13168222268</v>
      </c>
      <c r="F354" s="140">
        <f t="shared" si="24"/>
        <v>0</v>
      </c>
      <c r="G354" s="140">
        <f t="shared" si="24"/>
        <v>-20254.730551194967</v>
      </c>
      <c r="H354" s="140">
        <f t="shared" si="24"/>
        <v>-1056.836623709607</v>
      </c>
      <c r="I354" s="140">
        <f t="shared" si="24"/>
        <v>-2154.6792539828998</v>
      </c>
      <c r="J354" s="140">
        <f t="shared" si="24"/>
        <v>-54625.468210374791</v>
      </c>
      <c r="K354" s="140">
        <f t="shared" si="24"/>
        <v>0</v>
      </c>
      <c r="L354" s="140">
        <f t="shared" si="24"/>
        <v>0</v>
      </c>
      <c r="M354" s="140">
        <f t="shared" si="24"/>
        <v>0</v>
      </c>
      <c r="N354" s="140">
        <f t="shared" si="24"/>
        <v>0</v>
      </c>
      <c r="O354" s="140">
        <f t="shared" si="24"/>
        <v>0</v>
      </c>
      <c r="P354" s="140">
        <f t="shared" si="24"/>
        <v>0</v>
      </c>
      <c r="Q354" s="140">
        <f t="shared" si="24"/>
        <v>0</v>
      </c>
      <c r="R354" s="26" t="s">
        <v>226</v>
      </c>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89"/>
      <c r="CD354" s="89"/>
      <c r="CE354" s="89"/>
      <c r="CF354" s="89"/>
      <c r="CG354" s="89"/>
      <c r="CH354" s="89"/>
      <c r="CI354" s="89"/>
      <c r="CJ354" s="89"/>
      <c r="CK354" s="89"/>
      <c r="CL354" s="89"/>
      <c r="CM354" s="89"/>
      <c r="CN354" s="89"/>
      <c r="CO354" s="89"/>
      <c r="CP354" s="89"/>
      <c r="CQ354" s="89"/>
    </row>
    <row r="355" spans="1:95" s="8" customFormat="1" ht="15" hidden="1" customHeight="1" outlineLevel="1" x14ac:dyDescent="0.25">
      <c r="A355" s="89"/>
      <c r="B355" s="135" t="s">
        <v>19</v>
      </c>
      <c r="C355" s="141"/>
      <c r="D355" s="140">
        <f t="shared" ref="D355:Q355" si="25">(Opening_without_51_54_with_xx*Non_night_modelling_mask + Opening_without_51_54_with_xx_night*Night_modelling_mask)*Without_51_54_with_xx_sleep_disturbance_value</f>
        <v>10338.104393841541</v>
      </c>
      <c r="E355" s="140">
        <f t="shared" si="25"/>
        <v>3706.7876675749935</v>
      </c>
      <c r="F355" s="140">
        <f t="shared" si="25"/>
        <v>9162.8542969691516</v>
      </c>
      <c r="G355" s="140">
        <f t="shared" si="25"/>
        <v>0</v>
      </c>
      <c r="H355" s="140">
        <f t="shared" si="25"/>
        <v>-7469.5547471407353</v>
      </c>
      <c r="I355" s="140">
        <f t="shared" si="25"/>
        <v>-931.11593540411548</v>
      </c>
      <c r="J355" s="140">
        <f t="shared" si="25"/>
        <v>-7002.5211845055001</v>
      </c>
      <c r="K355" s="140">
        <f t="shared" si="25"/>
        <v>-1426.1392040347027</v>
      </c>
      <c r="L355" s="140">
        <f t="shared" si="25"/>
        <v>0</v>
      </c>
      <c r="M355" s="140">
        <f t="shared" si="25"/>
        <v>0</v>
      </c>
      <c r="N355" s="140">
        <f t="shared" si="25"/>
        <v>0</v>
      </c>
      <c r="O355" s="140">
        <f t="shared" si="25"/>
        <v>0</v>
      </c>
      <c r="P355" s="140">
        <f t="shared" si="25"/>
        <v>0</v>
      </c>
      <c r="Q355" s="140">
        <f t="shared" si="25"/>
        <v>0</v>
      </c>
      <c r="R355" s="26" t="s">
        <v>227</v>
      </c>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row>
    <row r="356" spans="1:95" s="8" customFormat="1" ht="15" hidden="1" customHeight="1" outlineLevel="1" x14ac:dyDescent="0.25">
      <c r="A356" s="89"/>
      <c r="B356" s="135" t="s">
        <v>20</v>
      </c>
      <c r="C356" s="141"/>
      <c r="D356" s="140">
        <f t="shared" ref="D356:Q356" si="26">(Opening_without_54_57_with_xx*Non_night_modelling_mask + Opening_without_54_57_with_xx_night*Night_modelling_mask)*Without_54_57_with_xx_sleep_disturbance_value</f>
        <v>0</v>
      </c>
      <c r="E356" s="140">
        <f t="shared" si="26"/>
        <v>3978.6077868418706</v>
      </c>
      <c r="F356" s="140">
        <f t="shared" si="26"/>
        <v>4491.5556507658293</v>
      </c>
      <c r="G356" s="140">
        <f t="shared" si="26"/>
        <v>17093.788748264375</v>
      </c>
      <c r="H356" s="140">
        <f t="shared" si="26"/>
        <v>0</v>
      </c>
      <c r="I356" s="140">
        <f t="shared" si="26"/>
        <v>-20674.110163778092</v>
      </c>
      <c r="J356" s="140">
        <f t="shared" si="26"/>
        <v>-5348.022015130131</v>
      </c>
      <c r="K356" s="140">
        <f t="shared" si="26"/>
        <v>0</v>
      </c>
      <c r="L356" s="140">
        <f t="shared" si="26"/>
        <v>0</v>
      </c>
      <c r="M356" s="140">
        <f t="shared" si="26"/>
        <v>0</v>
      </c>
      <c r="N356" s="140">
        <f t="shared" si="26"/>
        <v>0</v>
      </c>
      <c r="O356" s="140">
        <f t="shared" si="26"/>
        <v>0</v>
      </c>
      <c r="P356" s="140">
        <f t="shared" si="26"/>
        <v>0</v>
      </c>
      <c r="Q356" s="140">
        <f t="shared" si="26"/>
        <v>0</v>
      </c>
      <c r="R356" s="26" t="s">
        <v>228</v>
      </c>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89"/>
      <c r="CD356" s="89"/>
      <c r="CE356" s="89"/>
      <c r="CF356" s="89"/>
      <c r="CG356" s="89"/>
      <c r="CH356" s="89"/>
      <c r="CI356" s="89"/>
      <c r="CJ356" s="89"/>
      <c r="CK356" s="89"/>
      <c r="CL356" s="89"/>
      <c r="CM356" s="89"/>
      <c r="CN356" s="89"/>
      <c r="CO356" s="89"/>
      <c r="CP356" s="89"/>
      <c r="CQ356" s="89"/>
    </row>
    <row r="357" spans="1:95" s="8" customFormat="1" ht="15" hidden="1" customHeight="1" outlineLevel="1" x14ac:dyDescent="0.25">
      <c r="A357" s="89"/>
      <c r="B357" s="135" t="s">
        <v>21</v>
      </c>
      <c r="C357" s="141"/>
      <c r="D357" s="140">
        <f t="shared" ref="D357:Q357" si="27">(Opening_without_57_60_with_xx*Non_night_modelling_mask + Opening_without_57_60_with_xx_night*Night_modelling_mask)*Without_57_60_with_xx_sleep_disturbance_value</f>
        <v>0</v>
      </c>
      <c r="E357" s="140">
        <f t="shared" si="27"/>
        <v>0</v>
      </c>
      <c r="F357" s="140">
        <f t="shared" si="27"/>
        <v>3878.4226571692193</v>
      </c>
      <c r="G357" s="140">
        <f t="shared" si="27"/>
        <v>5897.0675908927315</v>
      </c>
      <c r="H357" s="140">
        <f t="shared" si="27"/>
        <v>8169.608048589731</v>
      </c>
      <c r="I357" s="140">
        <f t="shared" si="27"/>
        <v>0</v>
      </c>
      <c r="J357" s="140">
        <f t="shared" si="27"/>
        <v>-11768.102580648829</v>
      </c>
      <c r="K357" s="140">
        <f t="shared" si="27"/>
        <v>-402.69762354931294</v>
      </c>
      <c r="L357" s="140">
        <f t="shared" si="27"/>
        <v>-633.53934972493289</v>
      </c>
      <c r="M357" s="140">
        <f t="shared" si="27"/>
        <v>0</v>
      </c>
      <c r="N357" s="140">
        <f t="shared" si="27"/>
        <v>0</v>
      </c>
      <c r="O357" s="140">
        <f t="shared" si="27"/>
        <v>0</v>
      </c>
      <c r="P357" s="140">
        <f t="shared" si="27"/>
        <v>0</v>
      </c>
      <c r="Q357" s="140">
        <f t="shared" si="27"/>
        <v>0</v>
      </c>
      <c r="R357" s="26" t="s">
        <v>229</v>
      </c>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89"/>
      <c r="CD357" s="89"/>
      <c r="CE357" s="89"/>
      <c r="CF357" s="89"/>
      <c r="CG357" s="89"/>
      <c r="CH357" s="89"/>
      <c r="CI357" s="89"/>
      <c r="CJ357" s="89"/>
      <c r="CK357" s="89"/>
      <c r="CL357" s="89"/>
      <c r="CM357" s="89"/>
      <c r="CN357" s="89"/>
      <c r="CO357" s="89"/>
      <c r="CP357" s="89"/>
      <c r="CQ357" s="89"/>
    </row>
    <row r="358" spans="1:95" s="8" customFormat="1" ht="15" hidden="1" customHeight="1" outlineLevel="1" x14ac:dyDescent="0.25">
      <c r="A358" s="89"/>
      <c r="B358" s="135" t="s">
        <v>22</v>
      </c>
      <c r="C358" s="141"/>
      <c r="D358" s="140">
        <f t="shared" ref="D358:Q358" si="28">(Opening_without_60_63_with_xx*Non_night_modelling_mask + Opening_without_60_63_with_xx_night*Night_modelling_mask)*Without_60_63_with_xx_sleep_disturbance_value</f>
        <v>0</v>
      </c>
      <c r="E358" s="140">
        <f t="shared" si="28"/>
        <v>0</v>
      </c>
      <c r="F358" s="140">
        <f t="shared" si="28"/>
        <v>0</v>
      </c>
      <c r="G358" s="140">
        <f t="shared" si="28"/>
        <v>0</v>
      </c>
      <c r="H358" s="140">
        <f t="shared" si="28"/>
        <v>356.5348010086754</v>
      </c>
      <c r="I358" s="140">
        <f t="shared" si="28"/>
        <v>6453.4756087429059</v>
      </c>
      <c r="J358" s="140">
        <f t="shared" si="28"/>
        <v>0</v>
      </c>
      <c r="K358" s="140">
        <f t="shared" si="28"/>
        <v>-10431.586353080969</v>
      </c>
      <c r="L358" s="140">
        <f t="shared" si="28"/>
        <v>0</v>
      </c>
      <c r="M358" s="140">
        <f t="shared" si="28"/>
        <v>0</v>
      </c>
      <c r="N358" s="140">
        <f t="shared" si="28"/>
        <v>0</v>
      </c>
      <c r="O358" s="140">
        <f t="shared" si="28"/>
        <v>0</v>
      </c>
      <c r="P358" s="140">
        <f t="shared" si="28"/>
        <v>0</v>
      </c>
      <c r="Q358" s="140">
        <f t="shared" si="28"/>
        <v>0</v>
      </c>
      <c r="R358" s="26" t="s">
        <v>230</v>
      </c>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89"/>
      <c r="CD358" s="89"/>
      <c r="CE358" s="89"/>
      <c r="CF358" s="89"/>
      <c r="CG358" s="89"/>
      <c r="CH358" s="89"/>
      <c r="CI358" s="89"/>
      <c r="CJ358" s="89"/>
      <c r="CK358" s="89"/>
      <c r="CL358" s="89"/>
      <c r="CM358" s="89"/>
      <c r="CN358" s="89"/>
      <c r="CO358" s="89"/>
      <c r="CP358" s="89"/>
      <c r="CQ358" s="89"/>
    </row>
    <row r="359" spans="1:95" s="8" customFormat="1" ht="15" hidden="1" customHeight="1" outlineLevel="1" x14ac:dyDescent="0.25">
      <c r="A359" s="89"/>
      <c r="B359" s="135" t="s">
        <v>23</v>
      </c>
      <c r="C359" s="141"/>
      <c r="D359" s="140">
        <f t="shared" ref="D359:Q359" si="29">(Opening_without_63_66_with_xx*Non_night_modelling_mask + Opening_without_63_66_with_xx_night*Night_modelling_mask)*Without_63_66_with_xx_sleep_disturbance_value</f>
        <v>0</v>
      </c>
      <c r="E359" s="140">
        <f t="shared" si="29"/>
        <v>0</v>
      </c>
      <c r="F359" s="140">
        <f t="shared" si="29"/>
        <v>0</v>
      </c>
      <c r="G359" s="140">
        <f t="shared" si="29"/>
        <v>0</v>
      </c>
      <c r="H359" s="140">
        <f t="shared" si="29"/>
        <v>0</v>
      </c>
      <c r="I359" s="140">
        <f t="shared" si="29"/>
        <v>0</v>
      </c>
      <c r="J359" s="140">
        <f t="shared" si="29"/>
        <v>1064.4475870490785</v>
      </c>
      <c r="K359" s="140">
        <f t="shared" si="29"/>
        <v>0</v>
      </c>
      <c r="L359" s="140">
        <f t="shared" si="29"/>
        <v>-2539.2589879318202</v>
      </c>
      <c r="M359" s="140">
        <f t="shared" si="29"/>
        <v>0</v>
      </c>
      <c r="N359" s="140">
        <f t="shared" si="29"/>
        <v>0</v>
      </c>
      <c r="O359" s="140">
        <f t="shared" si="29"/>
        <v>0</v>
      </c>
      <c r="P359" s="140">
        <f t="shared" si="29"/>
        <v>0</v>
      </c>
      <c r="Q359" s="140">
        <f t="shared" si="29"/>
        <v>0</v>
      </c>
      <c r="R359" s="26" t="s">
        <v>231</v>
      </c>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row>
    <row r="360" spans="1:95" s="8" customFormat="1" ht="15" hidden="1" customHeight="1" outlineLevel="1" x14ac:dyDescent="0.25">
      <c r="A360" s="89"/>
      <c r="B360" s="135" t="s">
        <v>24</v>
      </c>
      <c r="C360" s="141"/>
      <c r="D360" s="140">
        <f t="shared" ref="D360:Q360" si="30">(Opening_without_66_69_with_xx*Non_night_modelling_mask + Opening_without_66_69_with_xx_night*Night_modelling_mask)*Without_66_69_with_xx_sleep_disturbance_value</f>
        <v>0</v>
      </c>
      <c r="E360" s="140">
        <f t="shared" si="30"/>
        <v>0</v>
      </c>
      <c r="F360" s="140">
        <f t="shared" si="30"/>
        <v>0</v>
      </c>
      <c r="G360" s="140">
        <f t="shared" si="30"/>
        <v>0</v>
      </c>
      <c r="H360" s="140">
        <f t="shared" si="30"/>
        <v>0</v>
      </c>
      <c r="I360" s="140">
        <f t="shared" si="30"/>
        <v>0</v>
      </c>
      <c r="J360" s="140">
        <f t="shared" si="30"/>
        <v>9318.3561152941493</v>
      </c>
      <c r="K360" s="140">
        <f t="shared" si="30"/>
        <v>8310.3021423223199</v>
      </c>
      <c r="L360" s="140">
        <f t="shared" si="30"/>
        <v>0</v>
      </c>
      <c r="M360" s="140">
        <f t="shared" si="30"/>
        <v>-1160.6201340087453</v>
      </c>
      <c r="N360" s="140">
        <f t="shared" si="30"/>
        <v>-464.24805360349808</v>
      </c>
      <c r="O360" s="140">
        <f t="shared" si="30"/>
        <v>0</v>
      </c>
      <c r="P360" s="140">
        <f t="shared" si="30"/>
        <v>0</v>
      </c>
      <c r="Q360" s="140">
        <f t="shared" si="30"/>
        <v>0</v>
      </c>
      <c r="R360" s="26" t="s">
        <v>232</v>
      </c>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row>
    <row r="361" spans="1:95" s="8" customFormat="1" ht="15" hidden="1" customHeight="1" outlineLevel="1" x14ac:dyDescent="0.25">
      <c r="A361" s="89"/>
      <c r="B361" s="135" t="s">
        <v>25</v>
      </c>
      <c r="C361" s="141"/>
      <c r="D361" s="140">
        <f t="shared" ref="D361:Q361" si="31">(Opening_without_69_72_with_xx*Non_night_modelling_mask + Opening_without_69_72_with_xx_night*Night_modelling_mask)*Without_69_72_with_xx_sleep_disturbance_value</f>
        <v>0</v>
      </c>
      <c r="E361" s="140">
        <f t="shared" si="31"/>
        <v>0</v>
      </c>
      <c r="F361" s="140">
        <f t="shared" si="31"/>
        <v>0</v>
      </c>
      <c r="G361" s="140">
        <f t="shared" si="31"/>
        <v>0</v>
      </c>
      <c r="H361" s="140">
        <f t="shared" si="31"/>
        <v>0</v>
      </c>
      <c r="I361" s="140">
        <f t="shared" si="31"/>
        <v>0</v>
      </c>
      <c r="J361" s="140">
        <f t="shared" si="31"/>
        <v>0</v>
      </c>
      <c r="K361" s="140">
        <f t="shared" si="31"/>
        <v>0</v>
      </c>
      <c r="L361" s="140">
        <f t="shared" si="31"/>
        <v>0</v>
      </c>
      <c r="M361" s="140">
        <f t="shared" si="31"/>
        <v>0</v>
      </c>
      <c r="N361" s="140">
        <f t="shared" si="31"/>
        <v>0</v>
      </c>
      <c r="O361" s="140">
        <f t="shared" si="31"/>
        <v>0</v>
      </c>
      <c r="P361" s="140">
        <f t="shared" si="31"/>
        <v>0</v>
      </c>
      <c r="Q361" s="140">
        <f t="shared" si="31"/>
        <v>0</v>
      </c>
      <c r="R361" s="26" t="s">
        <v>233</v>
      </c>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89"/>
      <c r="CD361" s="89"/>
      <c r="CE361" s="89"/>
      <c r="CF361" s="89"/>
      <c r="CG361" s="89"/>
      <c r="CH361" s="89"/>
      <c r="CI361" s="89"/>
      <c r="CJ361" s="89"/>
      <c r="CK361" s="89"/>
      <c r="CL361" s="89"/>
      <c r="CM361" s="89"/>
      <c r="CN361" s="89"/>
      <c r="CO361" s="89"/>
      <c r="CP361" s="89"/>
      <c r="CQ361" s="89"/>
    </row>
    <row r="362" spans="1:95" s="8" customFormat="1" ht="15" hidden="1" customHeight="1" outlineLevel="1" x14ac:dyDescent="0.25">
      <c r="A362" s="89"/>
      <c r="B362" s="135" t="s">
        <v>26</v>
      </c>
      <c r="C362" s="141"/>
      <c r="D362" s="140">
        <f t="shared" ref="D362:Q362" si="32">(Opening_without_72_75_with_xx*Non_night_modelling_mask + Opening_without_72_75_with_xx_night*Night_modelling_mask)*Without_72_75_with_xx_sleep_disturbance_value</f>
        <v>0</v>
      </c>
      <c r="E362" s="140">
        <f t="shared" si="32"/>
        <v>0</v>
      </c>
      <c r="F362" s="140">
        <f t="shared" si="32"/>
        <v>0</v>
      </c>
      <c r="G362" s="140">
        <f t="shared" si="32"/>
        <v>0</v>
      </c>
      <c r="H362" s="140">
        <f t="shared" si="32"/>
        <v>0</v>
      </c>
      <c r="I362" s="140">
        <f t="shared" si="32"/>
        <v>0</v>
      </c>
      <c r="J362" s="140">
        <f t="shared" si="32"/>
        <v>0</v>
      </c>
      <c r="K362" s="140">
        <f t="shared" si="32"/>
        <v>0</v>
      </c>
      <c r="L362" s="140">
        <f t="shared" si="32"/>
        <v>0</v>
      </c>
      <c r="M362" s="140">
        <f t="shared" si="32"/>
        <v>0</v>
      </c>
      <c r="N362" s="140">
        <f t="shared" si="32"/>
        <v>0</v>
      </c>
      <c r="O362" s="140">
        <f t="shared" si="32"/>
        <v>0</v>
      </c>
      <c r="P362" s="140">
        <f t="shared" si="32"/>
        <v>0</v>
      </c>
      <c r="Q362" s="140">
        <f t="shared" si="32"/>
        <v>0</v>
      </c>
      <c r="R362" s="26" t="s">
        <v>234</v>
      </c>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89"/>
      <c r="CD362" s="89"/>
      <c r="CE362" s="89"/>
      <c r="CF362" s="89"/>
      <c r="CG362" s="89"/>
      <c r="CH362" s="89"/>
      <c r="CI362" s="89"/>
      <c r="CJ362" s="89"/>
      <c r="CK362" s="89"/>
      <c r="CL362" s="89"/>
      <c r="CM362" s="89"/>
      <c r="CN362" s="89"/>
      <c r="CO362" s="89"/>
      <c r="CP362" s="89"/>
      <c r="CQ362" s="89"/>
    </row>
    <row r="363" spans="1:95" s="8" customFormat="1" ht="15" hidden="1" customHeight="1" outlineLevel="1" x14ac:dyDescent="0.25">
      <c r="A363" s="89"/>
      <c r="B363" s="135" t="s">
        <v>27</v>
      </c>
      <c r="C363" s="141"/>
      <c r="D363" s="140">
        <f t="shared" ref="D363:Q363" si="33">(Opening_without_75_78_with_xx*Non_night_modelling_mask + Opening_without_75_78_with_xx_night*Night_modelling_mask)*Without_75_78_with_xx_sleep_disturbance_value</f>
        <v>0</v>
      </c>
      <c r="E363" s="140">
        <f t="shared" si="33"/>
        <v>0</v>
      </c>
      <c r="F363" s="140">
        <f t="shared" si="33"/>
        <v>0</v>
      </c>
      <c r="G363" s="140">
        <f t="shared" si="33"/>
        <v>0</v>
      </c>
      <c r="H363" s="140">
        <f t="shared" si="33"/>
        <v>0</v>
      </c>
      <c r="I363" s="140">
        <f t="shared" si="33"/>
        <v>0</v>
      </c>
      <c r="J363" s="140">
        <f t="shared" si="33"/>
        <v>0</v>
      </c>
      <c r="K363" s="140">
        <f t="shared" si="33"/>
        <v>0</v>
      </c>
      <c r="L363" s="140">
        <f t="shared" si="33"/>
        <v>0</v>
      </c>
      <c r="M363" s="140">
        <f t="shared" si="33"/>
        <v>0</v>
      </c>
      <c r="N363" s="140">
        <f t="shared" si="33"/>
        <v>0</v>
      </c>
      <c r="O363" s="140">
        <f t="shared" si="33"/>
        <v>0</v>
      </c>
      <c r="P363" s="140">
        <f t="shared" si="33"/>
        <v>0</v>
      </c>
      <c r="Q363" s="140">
        <f t="shared" si="33"/>
        <v>0</v>
      </c>
      <c r="R363" s="26" t="s">
        <v>235</v>
      </c>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89"/>
      <c r="CD363" s="89"/>
      <c r="CE363" s="89"/>
      <c r="CF363" s="89"/>
      <c r="CG363" s="89"/>
      <c r="CH363" s="89"/>
      <c r="CI363" s="89"/>
      <c r="CJ363" s="89"/>
      <c r="CK363" s="89"/>
      <c r="CL363" s="89"/>
      <c r="CM363" s="89"/>
      <c r="CN363" s="89"/>
      <c r="CO363" s="89"/>
      <c r="CP363" s="89"/>
      <c r="CQ363" s="89"/>
    </row>
    <row r="364" spans="1:95" s="8" customFormat="1" ht="15" hidden="1" customHeight="1" outlineLevel="1" x14ac:dyDescent="0.25">
      <c r="A364" s="89"/>
      <c r="B364" s="135" t="s">
        <v>28</v>
      </c>
      <c r="C364" s="141"/>
      <c r="D364" s="140">
        <f t="shared" ref="D364:Q364" si="34">(Opening_without_78_81_with_xx*Non_night_modelling_mask + Opening_without_78_81_with_xx_night*Night_modelling_mask)*Without_78_81_with_xx_sleep_disturbance_value</f>
        <v>0</v>
      </c>
      <c r="E364" s="140">
        <f t="shared" si="34"/>
        <v>0</v>
      </c>
      <c r="F364" s="140">
        <f t="shared" si="34"/>
        <v>0</v>
      </c>
      <c r="G364" s="140">
        <f t="shared" si="34"/>
        <v>0</v>
      </c>
      <c r="H364" s="140">
        <f t="shared" si="34"/>
        <v>0</v>
      </c>
      <c r="I364" s="140">
        <f t="shared" si="34"/>
        <v>0</v>
      </c>
      <c r="J364" s="140">
        <f t="shared" si="34"/>
        <v>0</v>
      </c>
      <c r="K364" s="140">
        <f t="shared" si="34"/>
        <v>0</v>
      </c>
      <c r="L364" s="140">
        <f t="shared" si="34"/>
        <v>0</v>
      </c>
      <c r="M364" s="140">
        <f t="shared" si="34"/>
        <v>0</v>
      </c>
      <c r="N364" s="140">
        <f t="shared" si="34"/>
        <v>0</v>
      </c>
      <c r="O364" s="140">
        <f t="shared" si="34"/>
        <v>0</v>
      </c>
      <c r="P364" s="140">
        <f t="shared" si="34"/>
        <v>0</v>
      </c>
      <c r="Q364" s="140">
        <f t="shared" si="34"/>
        <v>0</v>
      </c>
      <c r="R364" s="26" t="s">
        <v>236</v>
      </c>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c r="CK364" s="89"/>
      <c r="CL364" s="89"/>
      <c r="CM364" s="89"/>
      <c r="CN364" s="89"/>
      <c r="CO364" s="89"/>
      <c r="CP364" s="89"/>
      <c r="CQ364" s="89"/>
    </row>
    <row r="365" spans="1:95" s="8" customFormat="1" ht="15" hidden="1" customHeight="1" outlineLevel="1" x14ac:dyDescent="0.25">
      <c r="A365" s="89"/>
      <c r="B365" s="135" t="s">
        <v>29</v>
      </c>
      <c r="C365" s="142"/>
      <c r="D365" s="140">
        <f>(Opening_without_81_with_xx*Non_night_modelling_mask + Opening_without_81_with_xx_night*Night_modelling_mask)*Without_81_with_xx_sleep_disturbance_value</f>
        <v>0</v>
      </c>
      <c r="E365" s="140">
        <f t="shared" ref="E365:Q365" si="35">(Opening_without_81_with_xx*Non_night_modelling_mask + Opening_without_81_with_xx_night*Night_modelling_mask)*Without_81_with_xx_sleep_disturbance_value</f>
        <v>0</v>
      </c>
      <c r="F365" s="140">
        <f t="shared" si="35"/>
        <v>0</v>
      </c>
      <c r="G365" s="140">
        <f t="shared" si="35"/>
        <v>0</v>
      </c>
      <c r="H365" s="140">
        <f t="shared" si="35"/>
        <v>0</v>
      </c>
      <c r="I365" s="140">
        <f t="shared" si="35"/>
        <v>0</v>
      </c>
      <c r="J365" s="140">
        <f t="shared" si="35"/>
        <v>0</v>
      </c>
      <c r="K365" s="140">
        <f t="shared" si="35"/>
        <v>0</v>
      </c>
      <c r="L365" s="140">
        <f t="shared" si="35"/>
        <v>0</v>
      </c>
      <c r="M365" s="140">
        <f t="shared" si="35"/>
        <v>0</v>
      </c>
      <c r="N365" s="140">
        <f t="shared" si="35"/>
        <v>0</v>
      </c>
      <c r="O365" s="140">
        <f t="shared" si="35"/>
        <v>0</v>
      </c>
      <c r="P365" s="140">
        <f t="shared" si="35"/>
        <v>0</v>
      </c>
      <c r="Q365" s="140">
        <f t="shared" si="35"/>
        <v>0</v>
      </c>
      <c r="R365" s="26" t="s">
        <v>237</v>
      </c>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89"/>
      <c r="CD365" s="89"/>
      <c r="CE365" s="89"/>
      <c r="CF365" s="89"/>
      <c r="CG365" s="89"/>
      <c r="CH365" s="89"/>
      <c r="CI365" s="89"/>
      <c r="CJ365" s="89"/>
      <c r="CK365" s="89"/>
      <c r="CL365" s="89"/>
      <c r="CM365" s="89"/>
      <c r="CN365" s="89"/>
      <c r="CO365" s="89"/>
      <c r="CP365" s="89"/>
      <c r="CQ365" s="89"/>
    </row>
    <row r="366" spans="1:95" s="8" customFormat="1" ht="15" hidden="1" customHeight="1" outlineLevel="1" x14ac:dyDescent="0.25">
      <c r="A366" s="89"/>
      <c r="B366" s="133"/>
      <c r="C366" s="133"/>
      <c r="D366" s="133"/>
      <c r="E366" s="133"/>
      <c r="F366" s="133"/>
      <c r="G366" s="133"/>
      <c r="H366" s="133"/>
      <c r="I366" s="133"/>
      <c r="J366" s="133"/>
      <c r="K366" s="133"/>
      <c r="L366" s="133"/>
      <c r="M366" s="133"/>
      <c r="N366" s="133"/>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89"/>
      <c r="CD366" s="89"/>
      <c r="CE366" s="89"/>
      <c r="CF366" s="89"/>
      <c r="CG366" s="89"/>
      <c r="CH366" s="89"/>
      <c r="CI366" s="89"/>
      <c r="CJ366" s="89"/>
      <c r="CK366" s="89"/>
      <c r="CL366" s="89"/>
      <c r="CM366" s="89"/>
      <c r="CN366" s="89"/>
      <c r="CO366" s="89"/>
      <c r="CP366" s="89"/>
      <c r="CQ366" s="89"/>
    </row>
    <row r="367" spans="1:95" s="8" customFormat="1" ht="23.25" hidden="1" customHeight="1" outlineLevel="1" x14ac:dyDescent="0.25">
      <c r="A367" s="89"/>
      <c r="B367" s="146" t="s">
        <v>252</v>
      </c>
      <c r="C367" s="144">
        <f>SUM(Opening_without_45_with_xx_sleep_disturbance_cost,Opening_without_45_48_with_xx_sleep_disturbance_cost,Opening_without_48_51_with_xx_sleep_disturbance_cost,Opening_without_51_54_with_xx_sleep_disturbance_cost,Opening_without_54_57_with_xx_sleep_disturbance_cost,Opening_without_57_60_with_xx_sleep_disturbance_cost,Opening_without_60_63_with_xx_sleep_disturbance_cost,Opening_without_63_66_with_xx_sleep_disturbance_cost,Opening_without_66_69_with_xx_sleep_disturbance_cost,Opening_without_69_72_with_xx_sleep_disturbance_cost,Opening_without_72_75_with_xx_sleep_disturbance_cost,Opening_without_75_78_with_xx_sleep_disturbance_cost,Opening_without_78_81_with_xx_sleep_disturbance_cost,Opening_without_81_with_xx_sleep_disturbance_cost)</f>
        <v>-230720.84474835728</v>
      </c>
      <c r="D367" s="30" t="s">
        <v>253</v>
      </c>
      <c r="E367" s="133"/>
      <c r="F367" s="133"/>
      <c r="G367" s="133"/>
      <c r="H367" s="133"/>
      <c r="I367" s="133"/>
      <c r="J367" s="133"/>
      <c r="K367" s="133"/>
      <c r="L367" s="133"/>
      <c r="M367" s="133"/>
      <c r="N367" s="133"/>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row>
    <row r="368" spans="1:95" s="8" customFormat="1" ht="15" hidden="1" customHeight="1" outlineLevel="1" x14ac:dyDescent="0.25">
      <c r="A368" s="89"/>
      <c r="B368" s="133"/>
      <c r="C368" s="133"/>
      <c r="D368" s="133"/>
      <c r="E368" s="133"/>
      <c r="F368" s="133"/>
      <c r="G368" s="133"/>
      <c r="H368" s="133"/>
      <c r="I368" s="133"/>
      <c r="J368" s="133"/>
      <c r="K368" s="133"/>
      <c r="L368" s="133"/>
      <c r="M368" s="133"/>
      <c r="N368" s="133"/>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row>
    <row r="369" spans="1:95" s="5" customFormat="1" ht="15.75" hidden="1" outlineLevel="1" x14ac:dyDescent="0.25">
      <c r="B369" s="5" t="s">
        <v>259</v>
      </c>
    </row>
    <row r="370" spans="1:95" s="8" customFormat="1" ht="15" hidden="1" customHeight="1" outlineLevel="1" x14ac:dyDescent="0.25">
      <c r="A370" s="89"/>
      <c r="B370" s="133"/>
      <c r="C370" s="133"/>
      <c r="D370" s="133"/>
      <c r="E370" s="133"/>
      <c r="F370" s="133"/>
      <c r="G370" s="133"/>
      <c r="H370" s="133"/>
      <c r="I370" s="133"/>
      <c r="J370" s="133"/>
      <c r="K370" s="133"/>
      <c r="L370" s="133"/>
      <c r="M370" s="133"/>
      <c r="N370" s="133"/>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89"/>
      <c r="CD370" s="89"/>
      <c r="CE370" s="89"/>
      <c r="CF370" s="89"/>
      <c r="CG370" s="89"/>
      <c r="CH370" s="89"/>
      <c r="CI370" s="89"/>
      <c r="CJ370" s="89"/>
      <c r="CK370" s="89"/>
      <c r="CL370" s="89"/>
      <c r="CM370" s="89"/>
      <c r="CN370" s="89"/>
      <c r="CO370" s="89"/>
      <c r="CP370" s="89"/>
      <c r="CQ370" s="89"/>
    </row>
    <row r="371" spans="1:95" s="8" customFormat="1" ht="15" hidden="1" customHeight="1" outlineLevel="1" x14ac:dyDescent="0.25">
      <c r="A371" s="89"/>
      <c r="B371" s="134"/>
      <c r="C371" s="91" t="s">
        <v>15</v>
      </c>
      <c r="D371" s="92" t="s">
        <v>16</v>
      </c>
      <c r="E371" s="135" t="s">
        <v>17</v>
      </c>
      <c r="F371" s="135" t="s">
        <v>18</v>
      </c>
      <c r="G371" s="135" t="s">
        <v>19</v>
      </c>
      <c r="H371" s="135" t="s">
        <v>20</v>
      </c>
      <c r="I371" s="135" t="s">
        <v>21</v>
      </c>
      <c r="J371" s="135" t="s">
        <v>22</v>
      </c>
      <c r="K371" s="135" t="s">
        <v>23</v>
      </c>
      <c r="L371" s="135" t="s">
        <v>24</v>
      </c>
      <c r="M371" s="135" t="s">
        <v>25</v>
      </c>
      <c r="N371" s="135" t="s">
        <v>26</v>
      </c>
      <c r="O371" s="135" t="s">
        <v>27</v>
      </c>
      <c r="P371" s="135" t="s">
        <v>28</v>
      </c>
      <c r="Q371" s="135" t="s">
        <v>29</v>
      </c>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89"/>
      <c r="CD371" s="89"/>
      <c r="CE371" s="89"/>
      <c r="CF371" s="89"/>
      <c r="CG371" s="89"/>
      <c r="CH371" s="89"/>
      <c r="CI371" s="89"/>
      <c r="CJ371" s="89"/>
      <c r="CK371" s="89"/>
      <c r="CL371" s="89"/>
      <c r="CM371" s="89"/>
      <c r="CN371" s="89"/>
      <c r="CO371" s="89"/>
      <c r="CP371" s="89"/>
      <c r="CQ371" s="89"/>
    </row>
    <row r="372" spans="1:95" s="8" customFormat="1" ht="15" hidden="1" customHeight="1" outlineLevel="1" x14ac:dyDescent="0.25">
      <c r="A372" s="89"/>
      <c r="B372" s="91" t="s">
        <v>30</v>
      </c>
      <c r="C372" s="136"/>
      <c r="D372" s="137"/>
      <c r="E372" s="138"/>
      <c r="F372" s="138"/>
      <c r="G372" s="138"/>
      <c r="H372" s="138"/>
      <c r="I372" s="138"/>
      <c r="J372" s="138"/>
      <c r="K372" s="138"/>
      <c r="L372" s="138"/>
      <c r="M372" s="138"/>
      <c r="N372" s="138"/>
      <c r="O372" s="138"/>
      <c r="P372" s="138"/>
      <c r="Q372" s="136"/>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row>
    <row r="373" spans="1:95" s="8" customFormat="1" ht="15" hidden="1" customHeight="1" outlineLevel="1" x14ac:dyDescent="0.25">
      <c r="A373" s="89"/>
      <c r="B373" s="92" t="s">
        <v>16</v>
      </c>
      <c r="C373" s="139"/>
      <c r="D373" s="145">
        <f t="shared" ref="D373:Q373" si="36">(Forecast_without_45_with_xx*Non_night_modelling_mask + Forecast_without_45_with_xx_night*Night_modelling_mask)*Without_45_with_xx_sleep_disturbance_value</f>
        <v>0</v>
      </c>
      <c r="E373" s="145">
        <f t="shared" si="36"/>
        <v>-50427.03302117416</v>
      </c>
      <c r="F373" s="145">
        <f t="shared" si="36"/>
        <v>-25509.41644073695</v>
      </c>
      <c r="G373" s="145">
        <f t="shared" si="36"/>
        <v>-20417.756177837044</v>
      </c>
      <c r="H373" s="145">
        <f t="shared" si="36"/>
        <v>-7639.8599754530769</v>
      </c>
      <c r="I373" s="145">
        <f t="shared" si="36"/>
        <v>-1706.4737649422307</v>
      </c>
      <c r="J373" s="145">
        <f t="shared" si="36"/>
        <v>-3793.1634722678705</v>
      </c>
      <c r="K373" s="145">
        <f t="shared" si="36"/>
        <v>-3886.0888474535595</v>
      </c>
      <c r="L373" s="145">
        <f t="shared" si="36"/>
        <v>-2404.72787607802</v>
      </c>
      <c r="M373" s="145">
        <f t="shared" si="36"/>
        <v>0</v>
      </c>
      <c r="N373" s="145">
        <f t="shared" si="36"/>
        <v>0</v>
      </c>
      <c r="O373" s="145">
        <f t="shared" si="36"/>
        <v>0</v>
      </c>
      <c r="P373" s="145">
        <f t="shared" si="36"/>
        <v>0</v>
      </c>
      <c r="Q373" s="145">
        <f t="shared" si="36"/>
        <v>0</v>
      </c>
      <c r="R373" s="26" t="s">
        <v>238</v>
      </c>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row>
    <row r="374" spans="1:95" s="8" customFormat="1" ht="15" hidden="1" customHeight="1" outlineLevel="1" x14ac:dyDescent="0.25">
      <c r="A374" s="89"/>
      <c r="B374" s="135" t="s">
        <v>17</v>
      </c>
      <c r="C374" s="141"/>
      <c r="D374" s="145">
        <f t="shared" ref="D374:Q374" si="37">(Forecast_without_45_48_with_xx*Non_night_modelling_mask + Forecast_without_45_48_with_xx_night*Night_modelling_mask)*Without_45_48_with_xx_sleep_disturbance_value</f>
        <v>4485.0966869794329</v>
      </c>
      <c r="E374" s="145">
        <f t="shared" si="37"/>
        <v>0</v>
      </c>
      <c r="F374" s="145">
        <f t="shared" si="37"/>
        <v>-47961.370840645643</v>
      </c>
      <c r="G374" s="145">
        <f t="shared" si="37"/>
        <v>-9375.9923356308664</v>
      </c>
      <c r="H374" s="145">
        <f t="shared" si="37"/>
        <v>-6872.1407227268674</v>
      </c>
      <c r="I374" s="145">
        <f t="shared" si="37"/>
        <v>-14267.294420079676</v>
      </c>
      <c r="J374" s="145">
        <f t="shared" si="37"/>
        <v>-31601.962391749203</v>
      </c>
      <c r="K374" s="145">
        <f t="shared" si="37"/>
        <v>-931.11593540411582</v>
      </c>
      <c r="L374" s="145">
        <f t="shared" si="37"/>
        <v>0</v>
      </c>
      <c r="M374" s="145">
        <f t="shared" si="37"/>
        <v>-2788.1633767629701</v>
      </c>
      <c r="N374" s="145">
        <f t="shared" si="37"/>
        <v>0</v>
      </c>
      <c r="O374" s="145">
        <f t="shared" si="37"/>
        <v>0</v>
      </c>
      <c r="P374" s="145">
        <f t="shared" si="37"/>
        <v>0</v>
      </c>
      <c r="Q374" s="145">
        <f t="shared" si="37"/>
        <v>0</v>
      </c>
      <c r="R374" s="26" t="s">
        <v>239</v>
      </c>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89"/>
      <c r="CD374" s="89"/>
      <c r="CE374" s="89"/>
      <c r="CF374" s="89"/>
      <c r="CG374" s="89"/>
      <c r="CH374" s="89"/>
      <c r="CI374" s="89"/>
      <c r="CJ374" s="89"/>
      <c r="CK374" s="89"/>
      <c r="CL374" s="89"/>
      <c r="CM374" s="89"/>
      <c r="CN374" s="89"/>
      <c r="CO374" s="89"/>
      <c r="CP374" s="89"/>
      <c r="CQ374" s="89"/>
    </row>
    <row r="375" spans="1:95" s="8" customFormat="1" ht="15" hidden="1" customHeight="1" outlineLevel="1" x14ac:dyDescent="0.25">
      <c r="A375" s="89"/>
      <c r="B375" s="135" t="s">
        <v>18</v>
      </c>
      <c r="C375" s="141"/>
      <c r="D375" s="145">
        <f t="shared" ref="D375:Q375" si="38">(Forecast_without_48_51_with_xx*Non_night_modelling_mask + Forecast_without_48_51_with_xx_night*Night_modelling_mask)*Without_48_51_with_xx_sleep_disturbance_value</f>
        <v>3998.7733880074138</v>
      </c>
      <c r="E375" s="145">
        <f t="shared" si="38"/>
        <v>11697.895326986742</v>
      </c>
      <c r="F375" s="145">
        <f t="shared" si="38"/>
        <v>0</v>
      </c>
      <c r="G375" s="145">
        <f t="shared" si="38"/>
        <v>-23751.082848722672</v>
      </c>
      <c r="H375" s="145">
        <f t="shared" si="38"/>
        <v>-3698.9281829836245</v>
      </c>
      <c r="I375" s="145">
        <f t="shared" si="38"/>
        <v>-9049.6528667281782</v>
      </c>
      <c r="J375" s="145">
        <f t="shared" si="38"/>
        <v>-16760.086837274084</v>
      </c>
      <c r="K375" s="145">
        <f t="shared" si="38"/>
        <v>-833.63347434589286</v>
      </c>
      <c r="L375" s="145">
        <f t="shared" si="38"/>
        <v>0</v>
      </c>
      <c r="M375" s="145">
        <f t="shared" si="38"/>
        <v>0</v>
      </c>
      <c r="N375" s="145">
        <f t="shared" si="38"/>
        <v>0</v>
      </c>
      <c r="O375" s="145">
        <f t="shared" si="38"/>
        <v>0</v>
      </c>
      <c r="P375" s="145">
        <f t="shared" si="38"/>
        <v>0</v>
      </c>
      <c r="Q375" s="145">
        <f t="shared" si="38"/>
        <v>0</v>
      </c>
      <c r="R375" s="26" t="s">
        <v>240</v>
      </c>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89"/>
      <c r="CD375" s="89"/>
      <c r="CE375" s="89"/>
      <c r="CF375" s="89"/>
      <c r="CG375" s="89"/>
      <c r="CH375" s="89"/>
      <c r="CI375" s="89"/>
      <c r="CJ375" s="89"/>
      <c r="CK375" s="89"/>
      <c r="CL375" s="89"/>
      <c r="CM375" s="89"/>
      <c r="CN375" s="89"/>
      <c r="CO375" s="89"/>
      <c r="CP375" s="89"/>
      <c r="CQ375" s="89"/>
    </row>
    <row r="376" spans="1:95" s="8" customFormat="1" ht="15" hidden="1" customHeight="1" outlineLevel="1" x14ac:dyDescent="0.25">
      <c r="A376" s="89"/>
      <c r="B376" s="135" t="s">
        <v>19</v>
      </c>
      <c r="C376" s="141"/>
      <c r="D376" s="145">
        <f t="shared" ref="D376:Q376" si="39">(Forecast_without_51_54_with_xx*Non_night_modelling_mask + Forecast_without_51_54_with_xx_night*Night_modelling_mask)*Without_51_54_with_xx_sleep_disturbance_value</f>
        <v>4393.6943673826545</v>
      </c>
      <c r="E376" s="145">
        <f t="shared" si="39"/>
        <v>4578.9730011220508</v>
      </c>
      <c r="F376" s="145">
        <f t="shared" si="39"/>
        <v>9403.9820416262355</v>
      </c>
      <c r="G376" s="145">
        <f t="shared" si="39"/>
        <v>0</v>
      </c>
      <c r="H376" s="145">
        <f t="shared" si="39"/>
        <v>-12640.784956699705</v>
      </c>
      <c r="I376" s="145">
        <f t="shared" si="39"/>
        <v>-1862.231870808231</v>
      </c>
      <c r="J376" s="145">
        <f t="shared" si="39"/>
        <v>-9003.2415229356429</v>
      </c>
      <c r="K376" s="145">
        <f t="shared" si="39"/>
        <v>-16400.60084639908</v>
      </c>
      <c r="L376" s="145">
        <f t="shared" si="39"/>
        <v>-1887.8226563859428</v>
      </c>
      <c r="M376" s="145">
        <f t="shared" si="39"/>
        <v>-2352.0707099894407</v>
      </c>
      <c r="N376" s="145">
        <f t="shared" si="39"/>
        <v>0</v>
      </c>
      <c r="O376" s="145">
        <f t="shared" si="39"/>
        <v>0</v>
      </c>
      <c r="P376" s="145">
        <f t="shared" si="39"/>
        <v>0</v>
      </c>
      <c r="Q376" s="145">
        <f t="shared" si="39"/>
        <v>0</v>
      </c>
      <c r="R376" s="26" t="s">
        <v>241</v>
      </c>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89"/>
      <c r="CD376" s="89"/>
      <c r="CE376" s="89"/>
      <c r="CF376" s="89"/>
      <c r="CG376" s="89"/>
      <c r="CH376" s="89"/>
      <c r="CI376" s="89"/>
      <c r="CJ376" s="89"/>
      <c r="CK376" s="89"/>
      <c r="CL376" s="89"/>
      <c r="CM376" s="89"/>
      <c r="CN376" s="89"/>
      <c r="CO376" s="89"/>
      <c r="CP376" s="89"/>
      <c r="CQ376" s="89"/>
    </row>
    <row r="377" spans="1:95" s="8" customFormat="1" ht="15" hidden="1" customHeight="1" outlineLevel="1" x14ac:dyDescent="0.25">
      <c r="A377" s="89"/>
      <c r="B377" s="135" t="s">
        <v>20</v>
      </c>
      <c r="C377" s="141"/>
      <c r="D377" s="145">
        <f t="shared" ref="D377:Q377" si="40">(Forecast_without_54_57_with_xx*Non_night_modelling_mask + Forecast_without_54_57_with_xx_night*Night_modelling_mask)*Without_54_57_with_xx_sleep_disturbance_value</f>
        <v>4423.0768278938867</v>
      </c>
      <c r="E377" s="145">
        <f t="shared" si="40"/>
        <v>2531.8413188993723</v>
      </c>
      <c r="F377" s="145">
        <f t="shared" si="40"/>
        <v>2642.0915592740175</v>
      </c>
      <c r="G377" s="145">
        <f t="shared" si="40"/>
        <v>18530.241584252977</v>
      </c>
      <c r="H377" s="145">
        <f t="shared" si="40"/>
        <v>0</v>
      </c>
      <c r="I377" s="145">
        <f t="shared" si="40"/>
        <v>-25175.730925245905</v>
      </c>
      <c r="J377" s="145">
        <f t="shared" si="40"/>
        <v>-8913.3700252168856</v>
      </c>
      <c r="K377" s="145">
        <f t="shared" si="40"/>
        <v>-569.42431841849111</v>
      </c>
      <c r="L377" s="145">
        <f t="shared" si="40"/>
        <v>-2400.7981337823335</v>
      </c>
      <c r="M377" s="145">
        <f t="shared" si="40"/>
        <v>-13421.070928146182</v>
      </c>
      <c r="N377" s="145">
        <f t="shared" si="40"/>
        <v>0</v>
      </c>
      <c r="O377" s="145">
        <f t="shared" si="40"/>
        <v>0</v>
      </c>
      <c r="P377" s="145">
        <f t="shared" si="40"/>
        <v>0</v>
      </c>
      <c r="Q377" s="145">
        <f t="shared" si="40"/>
        <v>0</v>
      </c>
      <c r="R377" s="26" t="s">
        <v>242</v>
      </c>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89"/>
      <c r="CD377" s="89"/>
      <c r="CE377" s="89"/>
      <c r="CF377" s="89"/>
      <c r="CG377" s="89"/>
      <c r="CH377" s="89"/>
      <c r="CI377" s="89"/>
      <c r="CJ377" s="89"/>
      <c r="CK377" s="89"/>
      <c r="CL377" s="89"/>
      <c r="CM377" s="89"/>
      <c r="CN377" s="89"/>
      <c r="CO377" s="89"/>
      <c r="CP377" s="89"/>
      <c r="CQ377" s="89"/>
    </row>
    <row r="378" spans="1:95" s="8" customFormat="1" ht="15" hidden="1" customHeight="1" outlineLevel="1" x14ac:dyDescent="0.25">
      <c r="A378" s="89"/>
      <c r="B378" s="135" t="s">
        <v>21</v>
      </c>
      <c r="C378" s="141"/>
      <c r="D378" s="145">
        <f t="shared" ref="D378:Q378" si="41">(Forecast_without_57_60_with_xx*Non_night_modelling_mask + Forecast_without_57_60_with_xx_night*Night_modelling_mask)*Without_57_60_with_xx_sleep_disturbance_value</f>
        <v>2275.2983532563076</v>
      </c>
      <c r="E378" s="145">
        <f t="shared" si="41"/>
        <v>1056.8366237096056</v>
      </c>
      <c r="F378" s="145">
        <f t="shared" si="41"/>
        <v>0</v>
      </c>
      <c r="G378" s="145">
        <f t="shared" si="41"/>
        <v>931.11593540411548</v>
      </c>
      <c r="H378" s="145">
        <f t="shared" si="41"/>
        <v>10503.781776758226</v>
      </c>
      <c r="I378" s="145">
        <f t="shared" si="41"/>
        <v>0</v>
      </c>
      <c r="J378" s="145">
        <f t="shared" si="41"/>
        <v>-14425.416066601789</v>
      </c>
      <c r="K378" s="145">
        <f t="shared" si="41"/>
        <v>-5637.766729690381</v>
      </c>
      <c r="L378" s="145">
        <f t="shared" si="41"/>
        <v>-633.53934972493289</v>
      </c>
      <c r="M378" s="145">
        <f t="shared" si="41"/>
        <v>0</v>
      </c>
      <c r="N378" s="145">
        <f t="shared" si="41"/>
        <v>0</v>
      </c>
      <c r="O378" s="145">
        <f t="shared" si="41"/>
        <v>0</v>
      </c>
      <c r="P378" s="145">
        <f t="shared" si="41"/>
        <v>0</v>
      </c>
      <c r="Q378" s="145">
        <f t="shared" si="41"/>
        <v>0</v>
      </c>
      <c r="R378" s="26" t="s">
        <v>243</v>
      </c>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row>
    <row r="379" spans="1:95" s="8" customFormat="1" ht="15" hidden="1" customHeight="1" outlineLevel="1" x14ac:dyDescent="0.25">
      <c r="A379" s="89"/>
      <c r="B379" s="135" t="s">
        <v>22</v>
      </c>
      <c r="C379" s="141"/>
      <c r="D379" s="145">
        <f t="shared" ref="D379:Q379" si="42">(Forecast_without_60_63_with_xx*Non_night_modelling_mask + Forecast_without_60_63_with_xx_night*Night_modelling_mask)*Without_60_63_with_xx_sleep_disturbance_value</f>
        <v>0</v>
      </c>
      <c r="E379" s="145">
        <f t="shared" si="42"/>
        <v>2154.6792539829003</v>
      </c>
      <c r="F379" s="145">
        <f t="shared" si="42"/>
        <v>620.74395693607721</v>
      </c>
      <c r="G379" s="145">
        <f t="shared" si="42"/>
        <v>0</v>
      </c>
      <c r="H379" s="145">
        <f t="shared" si="42"/>
        <v>11052.578831268938</v>
      </c>
      <c r="I379" s="145">
        <f t="shared" si="42"/>
        <v>24295.437585855645</v>
      </c>
      <c r="J379" s="145">
        <f t="shared" si="42"/>
        <v>0</v>
      </c>
      <c r="K379" s="145">
        <f t="shared" si="42"/>
        <v>-11496.033940130048</v>
      </c>
      <c r="L379" s="145">
        <f t="shared" si="42"/>
        <v>0</v>
      </c>
      <c r="M379" s="145">
        <f t="shared" si="42"/>
        <v>0</v>
      </c>
      <c r="N379" s="145">
        <f t="shared" si="42"/>
        <v>0</v>
      </c>
      <c r="O379" s="145">
        <f t="shared" si="42"/>
        <v>0</v>
      </c>
      <c r="P379" s="145">
        <f t="shared" si="42"/>
        <v>0</v>
      </c>
      <c r="Q379" s="145">
        <f t="shared" si="42"/>
        <v>0</v>
      </c>
      <c r="R379" s="26" t="s">
        <v>244</v>
      </c>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89"/>
      <c r="CD379" s="89"/>
      <c r="CE379" s="89"/>
      <c r="CF379" s="89"/>
      <c r="CG379" s="89"/>
      <c r="CH379" s="89"/>
      <c r="CI379" s="89"/>
      <c r="CJ379" s="89"/>
      <c r="CK379" s="89"/>
      <c r="CL379" s="89"/>
      <c r="CM379" s="89"/>
      <c r="CN379" s="89"/>
      <c r="CO379" s="89"/>
      <c r="CP379" s="89"/>
      <c r="CQ379" s="89"/>
    </row>
    <row r="380" spans="1:95" s="8" customFormat="1" ht="15" hidden="1" customHeight="1" outlineLevel="1" x14ac:dyDescent="0.25">
      <c r="A380" s="89"/>
      <c r="B380" s="135" t="s">
        <v>23</v>
      </c>
      <c r="C380" s="141"/>
      <c r="D380" s="145">
        <f t="shared" ref="D380:Q380" si="43">(Forecast_without_63_66_with_xx*Non_night_modelling_mask + Forecast_without_63_66_with_xx_night*Night_modelling_mask)*Without_63_66_with_xx_sleep_disturbance_value</f>
        <v>0</v>
      </c>
      <c r="E380" s="145">
        <f t="shared" si="43"/>
        <v>3724.4637416164633</v>
      </c>
      <c r="F380" s="145">
        <f t="shared" si="43"/>
        <v>3334.5338973835715</v>
      </c>
      <c r="G380" s="145">
        <f t="shared" si="43"/>
        <v>713.06960201735137</v>
      </c>
      <c r="H380" s="145">
        <f t="shared" si="43"/>
        <v>2277.6972736739644</v>
      </c>
      <c r="I380" s="145">
        <f t="shared" si="43"/>
        <v>0</v>
      </c>
      <c r="J380" s="145">
        <f t="shared" si="43"/>
        <v>2554.6742089177887</v>
      </c>
      <c r="K380" s="145">
        <f t="shared" si="43"/>
        <v>0</v>
      </c>
      <c r="L380" s="145">
        <f t="shared" si="43"/>
        <v>-12696.294939659101</v>
      </c>
      <c r="M380" s="145">
        <f t="shared" si="43"/>
        <v>-9259.3150595473817</v>
      </c>
      <c r="N380" s="145">
        <f t="shared" si="43"/>
        <v>0</v>
      </c>
      <c r="O380" s="145">
        <f t="shared" si="43"/>
        <v>0</v>
      </c>
      <c r="P380" s="145">
        <f t="shared" si="43"/>
        <v>0</v>
      </c>
      <c r="Q380" s="145">
        <f t="shared" si="43"/>
        <v>0</v>
      </c>
      <c r="R380" s="26" t="s">
        <v>245</v>
      </c>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89"/>
      <c r="CD380" s="89"/>
      <c r="CE380" s="89"/>
      <c r="CF380" s="89"/>
      <c r="CG380" s="89"/>
      <c r="CH380" s="89"/>
      <c r="CI380" s="89"/>
      <c r="CJ380" s="89"/>
      <c r="CK380" s="89"/>
      <c r="CL380" s="89"/>
      <c r="CM380" s="89"/>
      <c r="CN380" s="89"/>
      <c r="CO380" s="89"/>
      <c r="CP380" s="89"/>
      <c r="CQ380" s="89"/>
    </row>
    <row r="381" spans="1:95" s="8" customFormat="1" ht="15" hidden="1" customHeight="1" outlineLevel="1" x14ac:dyDescent="0.25">
      <c r="A381" s="89"/>
      <c r="B381" s="135" t="s">
        <v>24</v>
      </c>
      <c r="C381" s="141"/>
      <c r="D381" s="145">
        <f t="shared" ref="D381:Q381" si="44">(Forecast_without_66_69_with_xx*Non_night_modelling_mask + Forecast_without_66_69_with_xx_night*Night_modelling_mask)*Without_66_69_with_xx_sleep_disturbance_value</f>
        <v>0</v>
      </c>
      <c r="E381" s="145">
        <f t="shared" si="44"/>
        <v>3485.8729847392078</v>
      </c>
      <c r="F381" s="145">
        <f t="shared" si="44"/>
        <v>2128.9504010430255</v>
      </c>
      <c r="G381" s="145">
        <f t="shared" si="44"/>
        <v>0</v>
      </c>
      <c r="H381" s="145">
        <f t="shared" si="44"/>
        <v>0</v>
      </c>
      <c r="I381" s="145">
        <f t="shared" si="44"/>
        <v>0</v>
      </c>
      <c r="J381" s="145">
        <f t="shared" si="44"/>
        <v>13311.937307563072</v>
      </c>
      <c r="K381" s="145">
        <f t="shared" si="44"/>
        <v>5078.5179758636405</v>
      </c>
      <c r="L381" s="145">
        <f t="shared" si="44"/>
        <v>0</v>
      </c>
      <c r="M381" s="145">
        <f t="shared" si="44"/>
        <v>-1392.7441608104941</v>
      </c>
      <c r="N381" s="145">
        <f t="shared" si="44"/>
        <v>-464.24805360349808</v>
      </c>
      <c r="O381" s="145">
        <f t="shared" si="44"/>
        <v>0</v>
      </c>
      <c r="P381" s="145">
        <f t="shared" si="44"/>
        <v>0</v>
      </c>
      <c r="Q381" s="145">
        <f t="shared" si="44"/>
        <v>0</v>
      </c>
      <c r="R381" s="26" t="s">
        <v>246</v>
      </c>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89"/>
      <c r="CD381" s="89"/>
      <c r="CE381" s="89"/>
      <c r="CF381" s="89"/>
      <c r="CG381" s="89"/>
      <c r="CH381" s="89"/>
      <c r="CI381" s="89"/>
      <c r="CJ381" s="89"/>
      <c r="CK381" s="89"/>
      <c r="CL381" s="89"/>
      <c r="CM381" s="89"/>
      <c r="CN381" s="89"/>
      <c r="CO381" s="89"/>
      <c r="CP381" s="89"/>
      <c r="CQ381" s="89"/>
    </row>
    <row r="382" spans="1:95" s="8" customFormat="1" ht="15" hidden="1" customHeight="1" outlineLevel="1" x14ac:dyDescent="0.25">
      <c r="A382" s="89"/>
      <c r="B382" s="135" t="s">
        <v>25</v>
      </c>
      <c r="C382" s="141"/>
      <c r="D382" s="145">
        <f t="shared" ref="D382:Q382" si="45">(Forecast_without_69_72_with_xx*Non_night_modelling_mask + Forecast_without_69_72_with_xx_night*Night_modelling_mask)*Without_69_72_with_xx_sleep_disturbance_value</f>
        <v>0</v>
      </c>
      <c r="E382" s="145">
        <f t="shared" si="45"/>
        <v>0</v>
      </c>
      <c r="F382" s="145">
        <f t="shared" si="45"/>
        <v>0</v>
      </c>
      <c r="G382" s="145">
        <f t="shared" si="45"/>
        <v>0</v>
      </c>
      <c r="H382" s="145">
        <f t="shared" si="45"/>
        <v>0</v>
      </c>
      <c r="I382" s="145">
        <f t="shared" si="45"/>
        <v>0</v>
      </c>
      <c r="J382" s="145">
        <f t="shared" si="45"/>
        <v>0</v>
      </c>
      <c r="K382" s="145">
        <f t="shared" si="45"/>
        <v>0</v>
      </c>
      <c r="L382" s="145">
        <f t="shared" si="45"/>
        <v>0</v>
      </c>
      <c r="M382" s="145">
        <f t="shared" si="45"/>
        <v>0</v>
      </c>
      <c r="N382" s="145">
        <f t="shared" si="45"/>
        <v>0</v>
      </c>
      <c r="O382" s="145">
        <f t="shared" si="45"/>
        <v>0</v>
      </c>
      <c r="P382" s="145">
        <f t="shared" si="45"/>
        <v>0</v>
      </c>
      <c r="Q382" s="145">
        <f t="shared" si="45"/>
        <v>0</v>
      </c>
      <c r="R382" s="26" t="s">
        <v>247</v>
      </c>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89"/>
      <c r="CD382" s="89"/>
      <c r="CE382" s="89"/>
      <c r="CF382" s="89"/>
      <c r="CG382" s="89"/>
      <c r="CH382" s="89"/>
      <c r="CI382" s="89"/>
      <c r="CJ382" s="89"/>
      <c r="CK382" s="89"/>
      <c r="CL382" s="89"/>
      <c r="CM382" s="89"/>
      <c r="CN382" s="89"/>
      <c r="CO382" s="89"/>
      <c r="CP382" s="89"/>
      <c r="CQ382" s="89"/>
    </row>
    <row r="383" spans="1:95" s="8" customFormat="1" ht="15" hidden="1" customHeight="1" outlineLevel="1" x14ac:dyDescent="0.25">
      <c r="A383" s="89"/>
      <c r="B383" s="135" t="s">
        <v>26</v>
      </c>
      <c r="C383" s="141"/>
      <c r="D383" s="145">
        <f t="shared" ref="D383:Q383" si="46">(Forecast_without_72_75_with_xx*Non_night_modelling_mask + Forecast_without_72_75_with_xx_night*Night_modelling_mask)*Without_72_75_with_xx_sleep_disturbance_value</f>
        <v>0</v>
      </c>
      <c r="E383" s="145">
        <f t="shared" si="46"/>
        <v>0</v>
      </c>
      <c r="F383" s="145">
        <f t="shared" si="46"/>
        <v>0</v>
      </c>
      <c r="G383" s="145">
        <f t="shared" si="46"/>
        <v>0</v>
      </c>
      <c r="H383" s="145">
        <f t="shared" si="46"/>
        <v>0</v>
      </c>
      <c r="I383" s="145">
        <f t="shared" si="46"/>
        <v>0</v>
      </c>
      <c r="J383" s="145">
        <f t="shared" si="46"/>
        <v>0</v>
      </c>
      <c r="K383" s="145">
        <f t="shared" si="46"/>
        <v>0</v>
      </c>
      <c r="L383" s="145">
        <f t="shared" si="46"/>
        <v>0</v>
      </c>
      <c r="M383" s="145">
        <f t="shared" si="46"/>
        <v>0</v>
      </c>
      <c r="N383" s="145">
        <f t="shared" si="46"/>
        <v>0</v>
      </c>
      <c r="O383" s="145">
        <f t="shared" si="46"/>
        <v>0</v>
      </c>
      <c r="P383" s="145">
        <f t="shared" si="46"/>
        <v>0</v>
      </c>
      <c r="Q383" s="145">
        <f t="shared" si="46"/>
        <v>0</v>
      </c>
      <c r="R383" s="26" t="s">
        <v>248</v>
      </c>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89"/>
      <c r="CD383" s="89"/>
      <c r="CE383" s="89"/>
      <c r="CF383" s="89"/>
      <c r="CG383" s="89"/>
      <c r="CH383" s="89"/>
      <c r="CI383" s="89"/>
      <c r="CJ383" s="89"/>
      <c r="CK383" s="89"/>
      <c r="CL383" s="89"/>
      <c r="CM383" s="89"/>
      <c r="CN383" s="89"/>
      <c r="CO383" s="89"/>
      <c r="CP383" s="89"/>
      <c r="CQ383" s="89"/>
    </row>
    <row r="384" spans="1:95" s="8" customFormat="1" ht="15" hidden="1" customHeight="1" outlineLevel="1" x14ac:dyDescent="0.25">
      <c r="A384" s="89"/>
      <c r="B384" s="135" t="s">
        <v>27</v>
      </c>
      <c r="C384" s="141"/>
      <c r="D384" s="145">
        <f t="shared" ref="D384:Q384" si="47">(Forecast_without_75_78_with_xx*Non_night_modelling_mask + Forecast_without_75_78_with_xx_night*Night_modelling_mask)*Without_75_78_with_xx_sleep_disturbance_value</f>
        <v>0</v>
      </c>
      <c r="E384" s="145">
        <f t="shared" si="47"/>
        <v>0</v>
      </c>
      <c r="F384" s="145">
        <f t="shared" si="47"/>
        <v>0</v>
      </c>
      <c r="G384" s="145">
        <f t="shared" si="47"/>
        <v>0</v>
      </c>
      <c r="H384" s="145">
        <f t="shared" si="47"/>
        <v>0</v>
      </c>
      <c r="I384" s="145">
        <f t="shared" si="47"/>
        <v>0</v>
      </c>
      <c r="J384" s="145">
        <f t="shared" si="47"/>
        <v>0</v>
      </c>
      <c r="K384" s="145">
        <f t="shared" si="47"/>
        <v>0</v>
      </c>
      <c r="L384" s="145">
        <f t="shared" si="47"/>
        <v>0</v>
      </c>
      <c r="M384" s="145">
        <f t="shared" si="47"/>
        <v>0</v>
      </c>
      <c r="N384" s="145">
        <f t="shared" si="47"/>
        <v>0</v>
      </c>
      <c r="O384" s="145">
        <f t="shared" si="47"/>
        <v>0</v>
      </c>
      <c r="P384" s="145">
        <f t="shared" si="47"/>
        <v>0</v>
      </c>
      <c r="Q384" s="145">
        <f t="shared" si="47"/>
        <v>0</v>
      </c>
      <c r="R384" s="26" t="s">
        <v>249</v>
      </c>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89"/>
      <c r="CD384" s="89"/>
      <c r="CE384" s="89"/>
      <c r="CF384" s="89"/>
      <c r="CG384" s="89"/>
      <c r="CH384" s="89"/>
      <c r="CI384" s="89"/>
      <c r="CJ384" s="89"/>
      <c r="CK384" s="89"/>
      <c r="CL384" s="89"/>
      <c r="CM384" s="89"/>
      <c r="CN384" s="89"/>
      <c r="CO384" s="89"/>
      <c r="CP384" s="89"/>
      <c r="CQ384" s="89"/>
    </row>
    <row r="385" spans="1:95" s="8" customFormat="1" ht="15" hidden="1" customHeight="1" outlineLevel="1" x14ac:dyDescent="0.25">
      <c r="A385" s="89"/>
      <c r="B385" s="135" t="s">
        <v>28</v>
      </c>
      <c r="C385" s="141"/>
      <c r="D385" s="145">
        <f t="shared" ref="D385:Q385" si="48">(Forecast_without_78_81_with_xx*Non_night_modelling_mask + Forecast_without_78_81_with_xx_night*Night_modelling_mask)*Without_78_81_with_xx_sleep_disturbance_value</f>
        <v>0</v>
      </c>
      <c r="E385" s="145">
        <f t="shared" si="48"/>
        <v>0</v>
      </c>
      <c r="F385" s="145">
        <f t="shared" si="48"/>
        <v>0</v>
      </c>
      <c r="G385" s="145">
        <f t="shared" si="48"/>
        <v>0</v>
      </c>
      <c r="H385" s="145">
        <f t="shared" si="48"/>
        <v>0</v>
      </c>
      <c r="I385" s="145">
        <f t="shared" si="48"/>
        <v>0</v>
      </c>
      <c r="J385" s="145">
        <f t="shared" si="48"/>
        <v>0</v>
      </c>
      <c r="K385" s="145">
        <f t="shared" si="48"/>
        <v>0</v>
      </c>
      <c r="L385" s="145">
        <f t="shared" si="48"/>
        <v>0</v>
      </c>
      <c r="M385" s="145">
        <f t="shared" si="48"/>
        <v>0</v>
      </c>
      <c r="N385" s="145">
        <f t="shared" si="48"/>
        <v>0</v>
      </c>
      <c r="O385" s="145">
        <f t="shared" si="48"/>
        <v>0</v>
      </c>
      <c r="P385" s="145">
        <f t="shared" si="48"/>
        <v>0</v>
      </c>
      <c r="Q385" s="145">
        <f t="shared" si="48"/>
        <v>0</v>
      </c>
      <c r="R385" s="26" t="s">
        <v>250</v>
      </c>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row>
    <row r="386" spans="1:95" s="8" customFormat="1" ht="15" hidden="1" customHeight="1" outlineLevel="1" x14ac:dyDescent="0.25">
      <c r="A386" s="89"/>
      <c r="B386" s="135" t="s">
        <v>29</v>
      </c>
      <c r="C386" s="142"/>
      <c r="D386" s="145">
        <f t="shared" ref="D386:Q386" si="49">(Forecast_without_81_with_xx*Non_night_modelling_mask + Forecast_without_81_with_xx_night*Night_modelling_mask)*Without_81_with_xx_sleep_disturbance_value</f>
        <v>0</v>
      </c>
      <c r="E386" s="145">
        <f t="shared" si="49"/>
        <v>0</v>
      </c>
      <c r="F386" s="145">
        <f t="shared" si="49"/>
        <v>0</v>
      </c>
      <c r="G386" s="145">
        <f t="shared" si="49"/>
        <v>0</v>
      </c>
      <c r="H386" s="145">
        <f t="shared" si="49"/>
        <v>0</v>
      </c>
      <c r="I386" s="145">
        <f t="shared" si="49"/>
        <v>0</v>
      </c>
      <c r="J386" s="145">
        <f t="shared" si="49"/>
        <v>0</v>
      </c>
      <c r="K386" s="145">
        <f t="shared" si="49"/>
        <v>0</v>
      </c>
      <c r="L386" s="145">
        <f t="shared" si="49"/>
        <v>0</v>
      </c>
      <c r="M386" s="145">
        <f t="shared" si="49"/>
        <v>0</v>
      </c>
      <c r="N386" s="145">
        <f t="shared" si="49"/>
        <v>0</v>
      </c>
      <c r="O386" s="145">
        <f t="shared" si="49"/>
        <v>0</v>
      </c>
      <c r="P386" s="145">
        <f t="shared" si="49"/>
        <v>0</v>
      </c>
      <c r="Q386" s="145">
        <f t="shared" si="49"/>
        <v>0</v>
      </c>
      <c r="R386" s="26" t="s">
        <v>251</v>
      </c>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89"/>
      <c r="CD386" s="89"/>
      <c r="CE386" s="89"/>
      <c r="CF386" s="89"/>
      <c r="CG386" s="89"/>
      <c r="CH386" s="89"/>
      <c r="CI386" s="89"/>
      <c r="CJ386" s="89"/>
      <c r="CK386" s="89"/>
      <c r="CL386" s="89"/>
      <c r="CM386" s="89"/>
      <c r="CN386" s="89"/>
      <c r="CO386" s="89"/>
      <c r="CP386" s="89"/>
      <c r="CQ386" s="89"/>
    </row>
    <row r="387" spans="1:95" s="8" customFormat="1" ht="15" hidden="1" customHeight="1" outlineLevel="1" x14ac:dyDescent="0.25">
      <c r="A387" s="89"/>
      <c r="B387" s="133"/>
      <c r="C387" s="133"/>
      <c r="D387" s="133"/>
      <c r="E387" s="133"/>
      <c r="F387" s="133"/>
      <c r="G387" s="133"/>
      <c r="H387" s="133"/>
      <c r="I387" s="133"/>
      <c r="J387" s="133"/>
      <c r="K387" s="133"/>
      <c r="L387" s="133"/>
      <c r="M387" s="133"/>
      <c r="N387" s="133"/>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89"/>
      <c r="CD387" s="89"/>
      <c r="CE387" s="89"/>
      <c r="CF387" s="89"/>
      <c r="CG387" s="89"/>
      <c r="CH387" s="89"/>
      <c r="CI387" s="89"/>
      <c r="CJ387" s="89"/>
      <c r="CK387" s="89"/>
      <c r="CL387" s="89"/>
      <c r="CM387" s="89"/>
      <c r="CN387" s="89"/>
      <c r="CO387" s="89"/>
      <c r="CP387" s="89"/>
      <c r="CQ387" s="89"/>
    </row>
    <row r="388" spans="1:95" s="8" customFormat="1" ht="23.25" hidden="1" customHeight="1" outlineLevel="1" x14ac:dyDescent="0.25">
      <c r="A388" s="89"/>
      <c r="B388" s="146" t="s">
        <v>254</v>
      </c>
      <c r="C388" s="144">
        <f>SUM(Forecast_without_45_with_xx_sleep_disturbance_cost,Forecast_without_45_48_with_xx_sleep_disturbance_cost,Forecast_without_48_51_with_xx_sleep_disturbance_cost,Forecast_without_51_54_with_xx_sleep_disturbance_cost,Forecast_without_54_57_with_xx_sleep_disturbance_cost,Forecast_without_57_60_with_xx_sleep_disturbance_cost,Forecast_without_60_63_with_xx_sleep_disturbance_cost,Forecast_without_63_66_with_xx_sleep_disturbance_cost,Forecast_without_66_69_with_xx_sleep_disturbance_cost,Forecast_without_69_72_with_xx_sleep_disturbance_cost,Forecast_without_72_75_with_xx_sleep_disturbance_cost,Forecast_without_75_78_with_xx_sleep_disturbance_cost,Forecast_without_78_81_with_xx_sleep_disturbance_cost,Forecast_without_81_with_xx_sleep_disturbance_cost)</f>
        <v>-278122.59319037769</v>
      </c>
      <c r="D388" s="30" t="s">
        <v>255</v>
      </c>
      <c r="E388" s="133"/>
      <c r="F388" s="133"/>
      <c r="G388" s="133"/>
      <c r="H388" s="133"/>
      <c r="I388" s="133"/>
      <c r="J388" s="133"/>
      <c r="K388" s="133"/>
      <c r="L388" s="133"/>
      <c r="M388" s="133"/>
      <c r="N388" s="133"/>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89"/>
      <c r="CD388" s="89"/>
      <c r="CE388" s="89"/>
      <c r="CF388" s="89"/>
      <c r="CG388" s="89"/>
      <c r="CH388" s="89"/>
      <c r="CI388" s="89"/>
      <c r="CJ388" s="89"/>
      <c r="CK388" s="89"/>
      <c r="CL388" s="89"/>
      <c r="CM388" s="89"/>
      <c r="CN388" s="89"/>
      <c r="CO388" s="89"/>
      <c r="CP388" s="89"/>
      <c r="CQ388" s="89"/>
    </row>
    <row r="389" spans="1:95" s="8" customFormat="1" ht="15" hidden="1" customHeight="1" outlineLevel="1" x14ac:dyDescent="0.25">
      <c r="A389" s="89"/>
      <c r="B389" s="133"/>
      <c r="C389" s="133"/>
      <c r="D389" s="30"/>
      <c r="E389" s="133"/>
      <c r="F389" s="133"/>
      <c r="G389" s="133"/>
      <c r="H389" s="133"/>
      <c r="I389" s="133"/>
      <c r="J389" s="133"/>
      <c r="K389" s="133"/>
      <c r="L389" s="133"/>
      <c r="M389" s="133"/>
      <c r="N389" s="133"/>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89"/>
      <c r="CD389" s="89"/>
      <c r="CE389" s="89"/>
      <c r="CF389" s="89"/>
      <c r="CG389" s="89"/>
      <c r="CH389" s="89"/>
      <c r="CI389" s="89"/>
      <c r="CJ389" s="89"/>
      <c r="CK389" s="89"/>
      <c r="CL389" s="89"/>
      <c r="CM389" s="89"/>
      <c r="CN389" s="89"/>
      <c r="CO389" s="89"/>
      <c r="CP389" s="89"/>
      <c r="CQ389" s="89"/>
    </row>
    <row r="390" spans="1:95" s="8" customFormat="1" ht="15" hidden="1" customHeight="1" outlineLevel="1" x14ac:dyDescent="0.25">
      <c r="A390" s="89"/>
      <c r="B390" s="133" t="s">
        <v>256</v>
      </c>
      <c r="C390" s="144">
        <f>Forecast_year_sleep_disturbance_cost-Opening_year_sleep_disturbance_cost</f>
        <v>-47401.748442020413</v>
      </c>
      <c r="D390" s="30" t="s">
        <v>257</v>
      </c>
      <c r="E390" s="133"/>
      <c r="F390" s="133"/>
      <c r="G390" s="133"/>
      <c r="H390" s="133"/>
      <c r="I390" s="133"/>
      <c r="J390" s="133"/>
      <c r="K390" s="133"/>
      <c r="L390" s="133"/>
      <c r="M390" s="133"/>
      <c r="N390" s="133"/>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89"/>
      <c r="CD390" s="89"/>
      <c r="CE390" s="89"/>
      <c r="CF390" s="89"/>
      <c r="CG390" s="89"/>
      <c r="CH390" s="89"/>
      <c r="CI390" s="89"/>
      <c r="CJ390" s="89"/>
      <c r="CK390" s="89"/>
      <c r="CL390" s="89"/>
      <c r="CM390" s="89"/>
      <c r="CN390" s="89"/>
      <c r="CO390" s="89"/>
      <c r="CP390" s="89"/>
      <c r="CQ390" s="89"/>
    </row>
    <row r="391" spans="1:95" ht="15" hidden="1" outlineLevel="1" x14ac:dyDescent="0.25">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c r="AO391" s="131"/>
      <c r="AP391" s="131"/>
      <c r="AQ391" s="131"/>
      <c r="AR391" s="131"/>
      <c r="AS391" s="131"/>
      <c r="AT391" s="131"/>
      <c r="AU391" s="131"/>
      <c r="AV391" s="131"/>
      <c r="AW391" s="131"/>
      <c r="AX391" s="131"/>
      <c r="AY391" s="131"/>
      <c r="AZ391" s="131"/>
      <c r="BA391" s="131"/>
      <c r="BB391" s="131"/>
      <c r="BC391" s="131"/>
      <c r="BD391" s="131"/>
      <c r="BE391" s="131"/>
      <c r="BF391" s="131"/>
      <c r="BG391" s="131"/>
      <c r="BH391" s="131"/>
      <c r="BI391" s="131"/>
      <c r="BJ391" s="131"/>
      <c r="BK391" s="131"/>
      <c r="BL391" s="131"/>
      <c r="BM391" s="131"/>
      <c r="BN391" s="131"/>
      <c r="BO391" s="131"/>
      <c r="BP391" s="131"/>
      <c r="BQ391" s="131"/>
      <c r="BR391" s="131"/>
      <c r="BS391" s="131"/>
      <c r="BT391" s="131"/>
      <c r="BU391" s="131"/>
      <c r="BV391" s="131"/>
      <c r="BW391" s="131"/>
      <c r="BX391" s="131"/>
      <c r="BY391" s="131"/>
      <c r="BZ391" s="131"/>
      <c r="CA391" s="131"/>
      <c r="CB391" s="131"/>
      <c r="CC391" s="131"/>
      <c r="CD391" s="131"/>
      <c r="CE391" s="131"/>
      <c r="CF391" s="131"/>
      <c r="CG391" s="131"/>
      <c r="CH391" s="131"/>
      <c r="CI391" s="131"/>
      <c r="CJ391" s="131"/>
      <c r="CK391" s="131"/>
      <c r="CL391" s="131"/>
      <c r="CM391" s="131"/>
      <c r="CN391" s="131"/>
      <c r="CO391" s="131"/>
      <c r="CP391" s="131"/>
      <c r="CQ391" s="131"/>
    </row>
    <row r="392" spans="1:95" s="5" customFormat="1" ht="15.75" hidden="1" outlineLevel="1" x14ac:dyDescent="0.25">
      <c r="B392" s="5" t="s">
        <v>291</v>
      </c>
    </row>
    <row r="393" spans="1:95" s="8" customFormat="1" ht="15" hidden="1" customHeight="1" outlineLevel="1" x14ac:dyDescent="0.25">
      <c r="A393" s="89"/>
      <c r="B393" s="133"/>
      <c r="C393" s="133"/>
      <c r="D393" s="133"/>
      <c r="E393" s="133"/>
      <c r="F393" s="133"/>
      <c r="G393" s="133"/>
      <c r="H393" s="133"/>
      <c r="I393" s="133"/>
      <c r="J393" s="133"/>
      <c r="K393" s="133"/>
      <c r="L393" s="133"/>
      <c r="M393" s="133"/>
      <c r="N393" s="133"/>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89"/>
      <c r="CD393" s="89"/>
      <c r="CE393" s="89"/>
      <c r="CF393" s="89"/>
      <c r="CG393" s="89"/>
      <c r="CH393" s="89"/>
      <c r="CI393" s="89"/>
      <c r="CJ393" s="89"/>
      <c r="CK393" s="89"/>
      <c r="CL393" s="89"/>
      <c r="CM393" s="89"/>
      <c r="CN393" s="89"/>
      <c r="CO393" s="89"/>
      <c r="CP393" s="89"/>
      <c r="CQ393" s="89"/>
    </row>
    <row r="394" spans="1:95" s="8" customFormat="1" ht="15" hidden="1" customHeight="1" outlineLevel="1" x14ac:dyDescent="0.25">
      <c r="A394" s="89"/>
      <c r="B394" s="134"/>
      <c r="C394" s="91" t="s">
        <v>15</v>
      </c>
      <c r="D394" s="92" t="s">
        <v>16</v>
      </c>
      <c r="E394" s="135" t="s">
        <v>17</v>
      </c>
      <c r="F394" s="135" t="s">
        <v>18</v>
      </c>
      <c r="G394" s="135" t="s">
        <v>19</v>
      </c>
      <c r="H394" s="135" t="s">
        <v>20</v>
      </c>
      <c r="I394" s="135" t="s">
        <v>21</v>
      </c>
      <c r="J394" s="135" t="s">
        <v>22</v>
      </c>
      <c r="K394" s="135" t="s">
        <v>23</v>
      </c>
      <c r="L394" s="135" t="s">
        <v>24</v>
      </c>
      <c r="M394" s="135" t="s">
        <v>25</v>
      </c>
      <c r="N394" s="135" t="s">
        <v>26</v>
      </c>
      <c r="O394" s="135" t="s">
        <v>27</v>
      </c>
      <c r="P394" s="135" t="s">
        <v>28</v>
      </c>
      <c r="Q394" s="135" t="s">
        <v>29</v>
      </c>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89"/>
      <c r="CD394" s="89"/>
      <c r="CE394" s="89"/>
      <c r="CF394" s="89"/>
      <c r="CG394" s="89"/>
      <c r="CH394" s="89"/>
      <c r="CI394" s="89"/>
      <c r="CJ394" s="89"/>
      <c r="CK394" s="89"/>
      <c r="CL394" s="89"/>
      <c r="CM394" s="89"/>
      <c r="CN394" s="89"/>
      <c r="CO394" s="89"/>
      <c r="CP394" s="89"/>
      <c r="CQ394" s="89"/>
    </row>
    <row r="395" spans="1:95" s="8" customFormat="1" ht="15" hidden="1" customHeight="1" outlineLevel="1" x14ac:dyDescent="0.25">
      <c r="A395" s="89"/>
      <c r="B395" s="91" t="s">
        <v>30</v>
      </c>
      <c r="C395" s="136"/>
      <c r="D395" s="137"/>
      <c r="E395" s="138"/>
      <c r="F395" s="138"/>
      <c r="G395" s="138"/>
      <c r="H395" s="138"/>
      <c r="I395" s="138"/>
      <c r="J395" s="138"/>
      <c r="K395" s="138"/>
      <c r="L395" s="138"/>
      <c r="M395" s="138"/>
      <c r="N395" s="138"/>
      <c r="O395" s="138"/>
      <c r="P395" s="138"/>
      <c r="Q395" s="136"/>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89"/>
      <c r="CD395" s="89"/>
      <c r="CE395" s="89"/>
      <c r="CF395" s="89"/>
      <c r="CG395" s="89"/>
      <c r="CH395" s="89"/>
      <c r="CI395" s="89"/>
      <c r="CJ395" s="89"/>
      <c r="CK395" s="89"/>
      <c r="CL395" s="89"/>
      <c r="CM395" s="89"/>
      <c r="CN395" s="89"/>
      <c r="CO395" s="89"/>
      <c r="CP395" s="89"/>
      <c r="CQ395" s="89"/>
    </row>
    <row r="396" spans="1:95" s="8" customFormat="1" ht="15" hidden="1" customHeight="1" outlineLevel="1" x14ac:dyDescent="0.25">
      <c r="A396" s="89"/>
      <c r="B396" s="92" t="s">
        <v>16</v>
      </c>
      <c r="C396" s="139"/>
      <c r="D396" s="145">
        <f>Opening_without_45_with_xx*Without_45_with_xx_amenity_value</f>
        <v>0</v>
      </c>
      <c r="E396" s="145">
        <f t="shared" ref="E396:Q396" si="50">Opening_without_45_with_xx*Without_45_with_xx_amenity_value</f>
        <v>-1906.8300132116185</v>
      </c>
      <c r="F396" s="145">
        <f t="shared" si="50"/>
        <v>-2914.0762673074696</v>
      </c>
      <c r="G396" s="145">
        <f t="shared" si="50"/>
        <v>0</v>
      </c>
      <c r="H396" s="145">
        <f t="shared" si="50"/>
        <v>0</v>
      </c>
      <c r="I396" s="145">
        <f t="shared" si="50"/>
        <v>-189.15311918877029</v>
      </c>
      <c r="J396" s="145">
        <f t="shared" si="50"/>
        <v>0</v>
      </c>
      <c r="K396" s="145">
        <f t="shared" si="50"/>
        <v>0</v>
      </c>
      <c r="L396" s="145">
        <f t="shared" si="50"/>
        <v>0</v>
      </c>
      <c r="M396" s="145">
        <f t="shared" si="50"/>
        <v>0</v>
      </c>
      <c r="N396" s="145">
        <f t="shared" si="50"/>
        <v>0</v>
      </c>
      <c r="O396" s="145">
        <f t="shared" si="50"/>
        <v>0</v>
      </c>
      <c r="P396" s="145">
        <f t="shared" si="50"/>
        <v>0</v>
      </c>
      <c r="Q396" s="145">
        <f t="shared" si="50"/>
        <v>0</v>
      </c>
      <c r="R396" s="26" t="s">
        <v>260</v>
      </c>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89"/>
      <c r="CD396" s="89"/>
      <c r="CE396" s="89"/>
      <c r="CF396" s="89"/>
      <c r="CG396" s="89"/>
      <c r="CH396" s="89"/>
      <c r="CI396" s="89"/>
      <c r="CJ396" s="89"/>
      <c r="CK396" s="89"/>
      <c r="CL396" s="89"/>
      <c r="CM396" s="89"/>
      <c r="CN396" s="89"/>
      <c r="CO396" s="89"/>
      <c r="CP396" s="89"/>
      <c r="CQ396" s="89"/>
    </row>
    <row r="397" spans="1:95" s="8" customFormat="1" ht="15" hidden="1" customHeight="1" outlineLevel="1" x14ac:dyDescent="0.25">
      <c r="A397" s="89"/>
      <c r="B397" s="135" t="s">
        <v>17</v>
      </c>
      <c r="C397" s="141"/>
      <c r="D397" s="145">
        <f t="shared" ref="D397:Q397" si="51">Opening_without_45_48_with_xx*Without_45_48_with_xx_amenity_value</f>
        <v>0</v>
      </c>
      <c r="E397" s="145">
        <f t="shared" si="51"/>
        <v>0</v>
      </c>
      <c r="F397" s="145">
        <f t="shared" si="51"/>
        <v>-29590.562802996417</v>
      </c>
      <c r="G397" s="145">
        <f t="shared" si="51"/>
        <v>-2811.7260418415185</v>
      </c>
      <c r="H397" s="145">
        <f t="shared" si="51"/>
        <v>-6751.0401727936705</v>
      </c>
      <c r="I397" s="145">
        <f t="shared" si="51"/>
        <v>-5738.6498097415524</v>
      </c>
      <c r="J397" s="145">
        <f t="shared" si="51"/>
        <v>-983.46380953630842</v>
      </c>
      <c r="K397" s="145">
        <f t="shared" si="51"/>
        <v>0</v>
      </c>
      <c r="L397" s="145">
        <f t="shared" si="51"/>
        <v>0</v>
      </c>
      <c r="M397" s="145">
        <f t="shared" si="51"/>
        <v>0</v>
      </c>
      <c r="N397" s="145">
        <f t="shared" si="51"/>
        <v>0</v>
      </c>
      <c r="O397" s="145">
        <f t="shared" si="51"/>
        <v>0</v>
      </c>
      <c r="P397" s="145">
        <f t="shared" si="51"/>
        <v>0</v>
      </c>
      <c r="Q397" s="145">
        <f t="shared" si="51"/>
        <v>0</v>
      </c>
      <c r="R397" s="26" t="s">
        <v>261</v>
      </c>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row>
    <row r="398" spans="1:95" s="8" customFormat="1" ht="15" hidden="1" customHeight="1" outlineLevel="1" x14ac:dyDescent="0.25">
      <c r="A398" s="89"/>
      <c r="B398" s="135" t="s">
        <v>18</v>
      </c>
      <c r="C398" s="141"/>
      <c r="D398" s="145">
        <f t="shared" ref="D398:Q398" si="52">Opening_without_48_51_with_xx*Without_48_51_with_xx_amenity_value</f>
        <v>0</v>
      </c>
      <c r="E398" s="145">
        <f t="shared" si="52"/>
        <v>0</v>
      </c>
      <c r="F398" s="145">
        <f t="shared" si="52"/>
        <v>0</v>
      </c>
      <c r="G398" s="145">
        <f t="shared" si="52"/>
        <v>-48731.103293492954</v>
      </c>
      <c r="H398" s="145">
        <f t="shared" si="52"/>
        <v>-13588.583065105884</v>
      </c>
      <c r="I398" s="145">
        <f t="shared" si="52"/>
        <v>-1272.4323939158635</v>
      </c>
      <c r="J398" s="145">
        <f t="shared" si="52"/>
        <v>-853.39540161104946</v>
      </c>
      <c r="K398" s="145">
        <f t="shared" si="52"/>
        <v>-302.85165944453809</v>
      </c>
      <c r="L398" s="145">
        <f t="shared" si="52"/>
        <v>0</v>
      </c>
      <c r="M398" s="145">
        <f t="shared" si="52"/>
        <v>-546.73967340778472</v>
      </c>
      <c r="N398" s="145">
        <f t="shared" si="52"/>
        <v>0</v>
      </c>
      <c r="O398" s="145">
        <f t="shared" si="52"/>
        <v>0</v>
      </c>
      <c r="P398" s="145">
        <f t="shared" si="52"/>
        <v>0</v>
      </c>
      <c r="Q398" s="145">
        <f t="shared" si="52"/>
        <v>0</v>
      </c>
      <c r="R398" s="26" t="s">
        <v>262</v>
      </c>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89"/>
      <c r="CD398" s="89"/>
      <c r="CE398" s="89"/>
      <c r="CF398" s="89"/>
      <c r="CG398" s="89"/>
      <c r="CH398" s="89"/>
      <c r="CI398" s="89"/>
      <c r="CJ398" s="89"/>
      <c r="CK398" s="89"/>
      <c r="CL398" s="89"/>
      <c r="CM398" s="89"/>
      <c r="CN398" s="89"/>
      <c r="CO398" s="89"/>
      <c r="CP398" s="89"/>
      <c r="CQ398" s="89"/>
    </row>
    <row r="399" spans="1:95" s="8" customFormat="1" ht="15" hidden="1" customHeight="1" outlineLevel="1" x14ac:dyDescent="0.25">
      <c r="A399" s="89"/>
      <c r="B399" s="135" t="s">
        <v>19</v>
      </c>
      <c r="C399" s="141"/>
      <c r="D399" s="145">
        <f t="shared" ref="D399:Q399" si="53">Opening_without_51_54_with_xx*Without_51_54_with_xx_amenity_value</f>
        <v>0</v>
      </c>
      <c r="E399" s="145">
        <f t="shared" si="53"/>
        <v>0</v>
      </c>
      <c r="F399" s="145">
        <f t="shared" si="53"/>
        <v>75.552098129446435</v>
      </c>
      <c r="G399" s="145">
        <f t="shared" si="53"/>
        <v>0</v>
      </c>
      <c r="H399" s="145">
        <f t="shared" si="53"/>
        <v>-42554.07812741313</v>
      </c>
      <c r="I399" s="145">
        <f t="shared" si="53"/>
        <v>-8081.2155868890723</v>
      </c>
      <c r="J399" s="145">
        <f t="shared" si="53"/>
        <v>-4564.8928347890178</v>
      </c>
      <c r="K399" s="145">
        <f t="shared" si="53"/>
        <v>-3976.1341556972229</v>
      </c>
      <c r="L399" s="145">
        <f t="shared" si="53"/>
        <v>-3376.6456709403765</v>
      </c>
      <c r="M399" s="145">
        <f t="shared" si="53"/>
        <v>-1526.8908730291846</v>
      </c>
      <c r="N399" s="145">
        <f t="shared" si="53"/>
        <v>-1338.9740471864318</v>
      </c>
      <c r="O399" s="145">
        <f t="shared" si="53"/>
        <v>-3432.0954099952951</v>
      </c>
      <c r="P399" s="145">
        <f t="shared" si="53"/>
        <v>0</v>
      </c>
      <c r="Q399" s="145">
        <f t="shared" si="53"/>
        <v>0</v>
      </c>
      <c r="R399" s="26" t="s">
        <v>263</v>
      </c>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89"/>
      <c r="CD399" s="89"/>
      <c r="CE399" s="89"/>
      <c r="CF399" s="89"/>
      <c r="CG399" s="89"/>
      <c r="CH399" s="89"/>
      <c r="CI399" s="89"/>
      <c r="CJ399" s="89"/>
      <c r="CK399" s="89"/>
      <c r="CL399" s="89"/>
      <c r="CM399" s="89"/>
      <c r="CN399" s="89"/>
      <c r="CO399" s="89"/>
      <c r="CP399" s="89"/>
      <c r="CQ399" s="89"/>
    </row>
    <row r="400" spans="1:95" s="8" customFormat="1" ht="15" hidden="1" customHeight="1" outlineLevel="1" x14ac:dyDescent="0.25">
      <c r="A400" s="89"/>
      <c r="B400" s="135" t="s">
        <v>20</v>
      </c>
      <c r="C400" s="141"/>
      <c r="D400" s="145">
        <f t="shared" ref="D400:Q400" si="54">Opening_without_54_57_with_xx*Without_54_57_with_xx_amenity_value</f>
        <v>0</v>
      </c>
      <c r="E400" s="145">
        <f t="shared" si="54"/>
        <v>0</v>
      </c>
      <c r="F400" s="145">
        <f t="shared" si="54"/>
        <v>0</v>
      </c>
      <c r="G400" s="145">
        <f t="shared" si="54"/>
        <v>184.41637324989438</v>
      </c>
      <c r="H400" s="145">
        <f t="shared" si="54"/>
        <v>0</v>
      </c>
      <c r="I400" s="145">
        <f t="shared" si="54"/>
        <v>-16157.846957602987</v>
      </c>
      <c r="J400" s="145">
        <f t="shared" si="54"/>
        <v>-1812.5619123579177</v>
      </c>
      <c r="K400" s="145">
        <f t="shared" si="54"/>
        <v>-218.97151706734127</v>
      </c>
      <c r="L400" s="145">
        <f t="shared" si="54"/>
        <v>-1316.3150360569396</v>
      </c>
      <c r="M400" s="145">
        <f t="shared" si="54"/>
        <v>0</v>
      </c>
      <c r="N400" s="145">
        <f t="shared" si="54"/>
        <v>0</v>
      </c>
      <c r="O400" s="145">
        <f t="shared" si="54"/>
        <v>0</v>
      </c>
      <c r="P400" s="145">
        <f t="shared" si="54"/>
        <v>0</v>
      </c>
      <c r="Q400" s="145">
        <f t="shared" si="54"/>
        <v>0</v>
      </c>
      <c r="R400" s="26" t="s">
        <v>264</v>
      </c>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89"/>
      <c r="CD400" s="89"/>
      <c r="CE400" s="89"/>
      <c r="CF400" s="89"/>
      <c r="CG400" s="89"/>
      <c r="CH400" s="89"/>
      <c r="CI400" s="89"/>
      <c r="CJ400" s="89"/>
      <c r="CK400" s="89"/>
      <c r="CL400" s="89"/>
      <c r="CM400" s="89"/>
      <c r="CN400" s="89"/>
      <c r="CO400" s="89"/>
      <c r="CP400" s="89"/>
      <c r="CQ400" s="89"/>
    </row>
    <row r="401" spans="1:95" s="8" customFormat="1" ht="15" hidden="1" customHeight="1" outlineLevel="1" x14ac:dyDescent="0.25">
      <c r="A401" s="89"/>
      <c r="B401" s="135" t="s">
        <v>21</v>
      </c>
      <c r="C401" s="141"/>
      <c r="D401" s="145">
        <f t="shared" ref="D401:Q401" si="55">Opening_without_57_60_with_xx*Without_57_60_with_xx_amenity_value</f>
        <v>0</v>
      </c>
      <c r="E401" s="145">
        <f t="shared" si="55"/>
        <v>0</v>
      </c>
      <c r="F401" s="145">
        <f t="shared" si="55"/>
        <v>0</v>
      </c>
      <c r="G401" s="145">
        <f t="shared" si="55"/>
        <v>0</v>
      </c>
      <c r="H401" s="145">
        <f t="shared" si="55"/>
        <v>977.5209903176185</v>
      </c>
      <c r="I401" s="145">
        <f t="shared" si="55"/>
        <v>0</v>
      </c>
      <c r="J401" s="145">
        <f t="shared" si="55"/>
        <v>-11370.860781557962</v>
      </c>
      <c r="K401" s="145">
        <f t="shared" si="55"/>
        <v>-1776.1731057705301</v>
      </c>
      <c r="L401" s="145">
        <f t="shared" si="55"/>
        <v>-271.5775242896691</v>
      </c>
      <c r="M401" s="145">
        <f t="shared" si="55"/>
        <v>-810.71659261204422</v>
      </c>
      <c r="N401" s="145">
        <f t="shared" si="55"/>
        <v>0</v>
      </c>
      <c r="O401" s="145">
        <f t="shared" si="55"/>
        <v>0</v>
      </c>
      <c r="P401" s="145">
        <f t="shared" si="55"/>
        <v>0</v>
      </c>
      <c r="Q401" s="145">
        <f t="shared" si="55"/>
        <v>0</v>
      </c>
      <c r="R401" s="26" t="s">
        <v>265</v>
      </c>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row>
    <row r="402" spans="1:95" s="8" customFormat="1" ht="15" hidden="1" customHeight="1" outlineLevel="1" x14ac:dyDescent="0.25">
      <c r="A402" s="89"/>
      <c r="B402" s="135" t="s">
        <v>22</v>
      </c>
      <c r="C402" s="141"/>
      <c r="D402" s="145">
        <f t="shared" ref="D402:Q402" si="56">Opening_without_60_63_with_xx*Without_60_63_with_xx_amenity_value</f>
        <v>0</v>
      </c>
      <c r="E402" s="145">
        <f t="shared" si="56"/>
        <v>0</v>
      </c>
      <c r="F402" s="145">
        <f t="shared" si="56"/>
        <v>0</v>
      </c>
      <c r="G402" s="145">
        <f t="shared" si="56"/>
        <v>0</v>
      </c>
      <c r="H402" s="145">
        <f t="shared" si="56"/>
        <v>0</v>
      </c>
      <c r="I402" s="145">
        <f t="shared" si="56"/>
        <v>3022.6338786419897</v>
      </c>
      <c r="J402" s="145">
        <f t="shared" si="56"/>
        <v>0</v>
      </c>
      <c r="K402" s="145">
        <f t="shared" si="56"/>
        <v>-15125.974728060095</v>
      </c>
      <c r="L402" s="145">
        <f t="shared" si="56"/>
        <v>-7585.181937569434</v>
      </c>
      <c r="M402" s="145">
        <f t="shared" si="56"/>
        <v>-333.3908230050223</v>
      </c>
      <c r="N402" s="145">
        <f t="shared" si="56"/>
        <v>0</v>
      </c>
      <c r="O402" s="145">
        <f t="shared" si="56"/>
        <v>0</v>
      </c>
      <c r="P402" s="145">
        <f t="shared" si="56"/>
        <v>0</v>
      </c>
      <c r="Q402" s="145">
        <f t="shared" si="56"/>
        <v>0</v>
      </c>
      <c r="R402" s="26" t="s">
        <v>266</v>
      </c>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row>
    <row r="403" spans="1:95" s="8" customFormat="1" ht="15" hidden="1" customHeight="1" outlineLevel="1" x14ac:dyDescent="0.25">
      <c r="A403" s="89"/>
      <c r="B403" s="135" t="s">
        <v>23</v>
      </c>
      <c r="C403" s="141"/>
      <c r="D403" s="145">
        <f t="shared" ref="D403:Q403" si="57">Opening_without_63_66_with_xx*Without_63_66_with_xx_amenity_value</f>
        <v>0</v>
      </c>
      <c r="E403" s="145">
        <f t="shared" si="57"/>
        <v>0</v>
      </c>
      <c r="F403" s="145">
        <f t="shared" si="57"/>
        <v>0</v>
      </c>
      <c r="G403" s="145">
        <f t="shared" si="57"/>
        <v>0</v>
      </c>
      <c r="H403" s="145">
        <f t="shared" si="57"/>
        <v>0</v>
      </c>
      <c r="I403" s="145">
        <f t="shared" si="57"/>
        <v>8234.9843994815492</v>
      </c>
      <c r="J403" s="145">
        <f t="shared" si="57"/>
        <v>895.02809041775708</v>
      </c>
      <c r="K403" s="145">
        <f t="shared" si="57"/>
        <v>0</v>
      </c>
      <c r="L403" s="145">
        <f t="shared" si="57"/>
        <v>-14864.477662830637</v>
      </c>
      <c r="M403" s="145">
        <f t="shared" si="57"/>
        <v>-975.55205585298654</v>
      </c>
      <c r="N403" s="145">
        <f t="shared" si="57"/>
        <v>0</v>
      </c>
      <c r="O403" s="145">
        <f t="shared" si="57"/>
        <v>0</v>
      </c>
      <c r="P403" s="145">
        <f t="shared" si="57"/>
        <v>0</v>
      </c>
      <c r="Q403" s="145">
        <f t="shared" si="57"/>
        <v>0</v>
      </c>
      <c r="R403" s="26" t="s">
        <v>267</v>
      </c>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89"/>
      <c r="CD403" s="89"/>
      <c r="CE403" s="89"/>
      <c r="CF403" s="89"/>
      <c r="CG403" s="89"/>
      <c r="CH403" s="89"/>
      <c r="CI403" s="89"/>
      <c r="CJ403" s="89"/>
      <c r="CK403" s="89"/>
      <c r="CL403" s="89"/>
      <c r="CM403" s="89"/>
      <c r="CN403" s="89"/>
      <c r="CO403" s="89"/>
      <c r="CP403" s="89"/>
      <c r="CQ403" s="89"/>
    </row>
    <row r="404" spans="1:95" s="8" customFormat="1" ht="15" hidden="1" customHeight="1" outlineLevel="1" x14ac:dyDescent="0.25">
      <c r="A404" s="89"/>
      <c r="B404" s="135" t="s">
        <v>24</v>
      </c>
      <c r="C404" s="141"/>
      <c r="D404" s="145">
        <f t="shared" ref="D404:Q404" si="58">Opening_without_66_69_with_xx*Without_66_69_with_xx_amenity_value</f>
        <v>0</v>
      </c>
      <c r="E404" s="145">
        <f t="shared" si="58"/>
        <v>0</v>
      </c>
      <c r="F404" s="145">
        <f t="shared" si="58"/>
        <v>0</v>
      </c>
      <c r="G404" s="145">
        <f t="shared" si="58"/>
        <v>0</v>
      </c>
      <c r="H404" s="145">
        <f t="shared" si="58"/>
        <v>0</v>
      </c>
      <c r="I404" s="145">
        <f t="shared" si="58"/>
        <v>0</v>
      </c>
      <c r="J404" s="145">
        <f t="shared" si="58"/>
        <v>0</v>
      </c>
      <c r="K404" s="145">
        <f t="shared" si="58"/>
        <v>4844.718645663319</v>
      </c>
      <c r="L404" s="145">
        <f t="shared" si="58"/>
        <v>0</v>
      </c>
      <c r="M404" s="145">
        <f t="shared" si="58"/>
        <v>-3612.0808444415316</v>
      </c>
      <c r="N404" s="145">
        <f t="shared" si="58"/>
        <v>-588.60834253301482</v>
      </c>
      <c r="O404" s="145">
        <f t="shared" si="58"/>
        <v>0</v>
      </c>
      <c r="P404" s="145">
        <f t="shared" si="58"/>
        <v>0</v>
      </c>
      <c r="Q404" s="145">
        <f t="shared" si="58"/>
        <v>0</v>
      </c>
      <c r="R404" s="26" t="s">
        <v>268</v>
      </c>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row>
    <row r="405" spans="1:95" s="8" customFormat="1" ht="15" hidden="1" customHeight="1" outlineLevel="1" x14ac:dyDescent="0.25">
      <c r="A405" s="89"/>
      <c r="B405" s="135" t="s">
        <v>25</v>
      </c>
      <c r="C405" s="141"/>
      <c r="D405" s="145">
        <f t="shared" ref="D405:Q405" si="59">Opening_without_69_72_with_xx*Without_69_72_with_xx_amenity_value</f>
        <v>0</v>
      </c>
      <c r="E405" s="145">
        <f t="shared" si="59"/>
        <v>0</v>
      </c>
      <c r="F405" s="145">
        <f t="shared" si="59"/>
        <v>0</v>
      </c>
      <c r="G405" s="145">
        <f t="shared" si="59"/>
        <v>0</v>
      </c>
      <c r="H405" s="145">
        <f t="shared" si="59"/>
        <v>0</v>
      </c>
      <c r="I405" s="145">
        <f t="shared" si="59"/>
        <v>0</v>
      </c>
      <c r="J405" s="145">
        <f t="shared" si="59"/>
        <v>0</v>
      </c>
      <c r="K405" s="145">
        <f t="shared" si="59"/>
        <v>0</v>
      </c>
      <c r="L405" s="145">
        <f t="shared" si="59"/>
        <v>3879.6423884742371</v>
      </c>
      <c r="M405" s="145">
        <f t="shared" si="59"/>
        <v>0</v>
      </c>
      <c r="N405" s="145">
        <f t="shared" si="59"/>
        <v>-5457.7955745052504</v>
      </c>
      <c r="O405" s="145">
        <f t="shared" si="59"/>
        <v>0</v>
      </c>
      <c r="P405" s="145">
        <f t="shared" si="59"/>
        <v>0</v>
      </c>
      <c r="Q405" s="145">
        <f t="shared" si="59"/>
        <v>0</v>
      </c>
      <c r="R405" s="26" t="s">
        <v>269</v>
      </c>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row>
    <row r="406" spans="1:95" s="8" customFormat="1" ht="15" hidden="1" customHeight="1" outlineLevel="1" x14ac:dyDescent="0.25">
      <c r="A406" s="89"/>
      <c r="B406" s="135" t="s">
        <v>26</v>
      </c>
      <c r="C406" s="141"/>
      <c r="D406" s="145">
        <f t="shared" ref="D406:Q406" si="60">Opening_without_72_75_with_xx*Without_72_75_with_xx_amenity_value</f>
        <v>0</v>
      </c>
      <c r="E406" s="145">
        <f t="shared" si="60"/>
        <v>0</v>
      </c>
      <c r="F406" s="145">
        <f t="shared" si="60"/>
        <v>0</v>
      </c>
      <c r="G406" s="145">
        <f t="shared" si="60"/>
        <v>0</v>
      </c>
      <c r="H406" s="145">
        <f t="shared" si="60"/>
        <v>0</v>
      </c>
      <c r="I406" s="145">
        <f t="shared" si="60"/>
        <v>0</v>
      </c>
      <c r="J406" s="145">
        <f t="shared" si="60"/>
        <v>0</v>
      </c>
      <c r="K406" s="145">
        <f t="shared" si="60"/>
        <v>0</v>
      </c>
      <c r="L406" s="145">
        <f t="shared" si="60"/>
        <v>0</v>
      </c>
      <c r="M406" s="145">
        <f t="shared" si="60"/>
        <v>6099.889171505868</v>
      </c>
      <c r="N406" s="145">
        <f t="shared" si="60"/>
        <v>0</v>
      </c>
      <c r="O406" s="145">
        <f t="shared" si="60"/>
        <v>-1319.7578023392548</v>
      </c>
      <c r="P406" s="145">
        <f t="shared" si="60"/>
        <v>-383.9826611186121</v>
      </c>
      <c r="Q406" s="145">
        <f t="shared" si="60"/>
        <v>0</v>
      </c>
      <c r="R406" s="26" t="s">
        <v>270</v>
      </c>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89"/>
      <c r="CD406" s="89"/>
      <c r="CE406" s="89"/>
      <c r="CF406" s="89"/>
      <c r="CG406" s="89"/>
      <c r="CH406" s="89"/>
      <c r="CI406" s="89"/>
      <c r="CJ406" s="89"/>
      <c r="CK406" s="89"/>
      <c r="CL406" s="89"/>
      <c r="CM406" s="89"/>
      <c r="CN406" s="89"/>
      <c r="CO406" s="89"/>
      <c r="CP406" s="89"/>
      <c r="CQ406" s="89"/>
    </row>
    <row r="407" spans="1:95" s="8" customFormat="1" ht="15" hidden="1" customHeight="1" outlineLevel="1" x14ac:dyDescent="0.25">
      <c r="A407" s="89"/>
      <c r="B407" s="135" t="s">
        <v>27</v>
      </c>
      <c r="C407" s="141"/>
      <c r="D407" s="145">
        <f t="shared" ref="D407:Q407" si="61">Opening_without_75_78_with_xx*Without_75_78_with_xx_amenity_value</f>
        <v>0</v>
      </c>
      <c r="E407" s="145">
        <f t="shared" si="61"/>
        <v>0</v>
      </c>
      <c r="F407" s="145">
        <f t="shared" si="61"/>
        <v>0</v>
      </c>
      <c r="G407" s="145">
        <f t="shared" si="61"/>
        <v>0</v>
      </c>
      <c r="H407" s="145">
        <f t="shared" si="61"/>
        <v>0</v>
      </c>
      <c r="I407" s="145">
        <f t="shared" si="61"/>
        <v>0</v>
      </c>
      <c r="J407" s="145">
        <f t="shared" si="61"/>
        <v>0</v>
      </c>
      <c r="K407" s="145">
        <f t="shared" si="61"/>
        <v>0</v>
      </c>
      <c r="L407" s="145">
        <f t="shared" si="61"/>
        <v>0</v>
      </c>
      <c r="M407" s="145">
        <f t="shared" si="61"/>
        <v>0</v>
      </c>
      <c r="N407" s="145">
        <f t="shared" si="61"/>
        <v>754.14731562243128</v>
      </c>
      <c r="O407" s="145">
        <f t="shared" si="61"/>
        <v>0</v>
      </c>
      <c r="P407" s="145">
        <f t="shared" si="61"/>
        <v>0</v>
      </c>
      <c r="Q407" s="145">
        <f t="shared" si="61"/>
        <v>0</v>
      </c>
      <c r="R407" s="26" t="s">
        <v>271</v>
      </c>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89"/>
      <c r="CD407" s="89"/>
      <c r="CE407" s="89"/>
      <c r="CF407" s="89"/>
      <c r="CG407" s="89"/>
      <c r="CH407" s="89"/>
      <c r="CI407" s="89"/>
      <c r="CJ407" s="89"/>
      <c r="CK407" s="89"/>
      <c r="CL407" s="89"/>
      <c r="CM407" s="89"/>
      <c r="CN407" s="89"/>
      <c r="CO407" s="89"/>
      <c r="CP407" s="89"/>
      <c r="CQ407" s="89"/>
    </row>
    <row r="408" spans="1:95" s="8" customFormat="1" ht="15" hidden="1" customHeight="1" outlineLevel="1" x14ac:dyDescent="0.25">
      <c r="A408" s="89"/>
      <c r="B408" s="135" t="s">
        <v>28</v>
      </c>
      <c r="C408" s="141"/>
      <c r="D408" s="145">
        <f t="shared" ref="D408:Q408" si="62">Opening_without_78_81_with_xx*Without_78_81_with_xx_amenity_value</f>
        <v>0</v>
      </c>
      <c r="E408" s="145">
        <f t="shared" si="62"/>
        <v>0</v>
      </c>
      <c r="F408" s="145">
        <f t="shared" si="62"/>
        <v>0</v>
      </c>
      <c r="G408" s="145">
        <f t="shared" si="62"/>
        <v>0</v>
      </c>
      <c r="H408" s="145">
        <f t="shared" si="62"/>
        <v>0</v>
      </c>
      <c r="I408" s="145">
        <f t="shared" si="62"/>
        <v>0</v>
      </c>
      <c r="J408" s="145">
        <f t="shared" si="62"/>
        <v>0</v>
      </c>
      <c r="K408" s="145">
        <f t="shared" si="62"/>
        <v>0</v>
      </c>
      <c r="L408" s="145">
        <f t="shared" si="62"/>
        <v>0</v>
      </c>
      <c r="M408" s="145">
        <f t="shared" si="62"/>
        <v>0</v>
      </c>
      <c r="N408" s="145">
        <f t="shared" si="62"/>
        <v>0</v>
      </c>
      <c r="O408" s="145">
        <f t="shared" si="62"/>
        <v>0</v>
      </c>
      <c r="P408" s="145">
        <f t="shared" si="62"/>
        <v>0</v>
      </c>
      <c r="Q408" s="145">
        <f t="shared" si="62"/>
        <v>0</v>
      </c>
      <c r="R408" s="26" t="s">
        <v>272</v>
      </c>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89"/>
      <c r="CD408" s="89"/>
      <c r="CE408" s="89"/>
      <c r="CF408" s="89"/>
      <c r="CG408" s="89"/>
      <c r="CH408" s="89"/>
      <c r="CI408" s="89"/>
      <c r="CJ408" s="89"/>
      <c r="CK408" s="89"/>
      <c r="CL408" s="89"/>
      <c r="CM408" s="89"/>
      <c r="CN408" s="89"/>
      <c r="CO408" s="89"/>
      <c r="CP408" s="89"/>
      <c r="CQ408" s="89"/>
    </row>
    <row r="409" spans="1:95" s="8" customFormat="1" ht="15" hidden="1" customHeight="1" outlineLevel="1" x14ac:dyDescent="0.25">
      <c r="A409" s="89"/>
      <c r="B409" s="135" t="s">
        <v>29</v>
      </c>
      <c r="C409" s="142"/>
      <c r="D409" s="145">
        <f t="shared" ref="D409:Q409" si="63">Opening_without_81_with_xx*Without_81_with_xx_amenity_value</f>
        <v>0</v>
      </c>
      <c r="E409" s="145">
        <f t="shared" si="63"/>
        <v>0</v>
      </c>
      <c r="F409" s="145">
        <f t="shared" si="63"/>
        <v>0</v>
      </c>
      <c r="G409" s="145">
        <f t="shared" si="63"/>
        <v>0</v>
      </c>
      <c r="H409" s="145">
        <f t="shared" si="63"/>
        <v>0</v>
      </c>
      <c r="I409" s="145">
        <f t="shared" si="63"/>
        <v>0</v>
      </c>
      <c r="J409" s="145">
        <f t="shared" si="63"/>
        <v>0</v>
      </c>
      <c r="K409" s="145">
        <f t="shared" si="63"/>
        <v>0</v>
      </c>
      <c r="L409" s="145">
        <f t="shared" si="63"/>
        <v>0</v>
      </c>
      <c r="M409" s="145">
        <f t="shared" si="63"/>
        <v>0</v>
      </c>
      <c r="N409" s="145">
        <f t="shared" si="63"/>
        <v>0</v>
      </c>
      <c r="O409" s="145">
        <f t="shared" si="63"/>
        <v>0</v>
      </c>
      <c r="P409" s="145">
        <f t="shared" si="63"/>
        <v>0</v>
      </c>
      <c r="Q409" s="145">
        <f t="shared" si="63"/>
        <v>0</v>
      </c>
      <c r="R409" s="26" t="s">
        <v>273</v>
      </c>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89"/>
      <c r="CD409" s="89"/>
      <c r="CE409" s="89"/>
      <c r="CF409" s="89"/>
      <c r="CG409" s="89"/>
      <c r="CH409" s="89"/>
      <c r="CI409" s="89"/>
      <c r="CJ409" s="89"/>
      <c r="CK409" s="89"/>
      <c r="CL409" s="89"/>
      <c r="CM409" s="89"/>
      <c r="CN409" s="89"/>
      <c r="CO409" s="89"/>
      <c r="CP409" s="89"/>
      <c r="CQ409" s="89"/>
    </row>
    <row r="410" spans="1:95" s="8" customFormat="1" ht="15" hidden="1" customHeight="1" outlineLevel="1" x14ac:dyDescent="0.25">
      <c r="A410" s="89"/>
      <c r="B410" s="133"/>
      <c r="C410" s="133"/>
      <c r="D410" s="133"/>
      <c r="E410" s="133"/>
      <c r="F410" s="133"/>
      <c r="G410" s="133"/>
      <c r="H410" s="133"/>
      <c r="I410" s="133"/>
      <c r="J410" s="133"/>
      <c r="K410" s="133"/>
      <c r="L410" s="133"/>
      <c r="M410" s="133"/>
      <c r="N410" s="133"/>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89"/>
      <c r="CD410" s="89"/>
      <c r="CE410" s="89"/>
      <c r="CF410" s="89"/>
      <c r="CG410" s="89"/>
      <c r="CH410" s="89"/>
      <c r="CI410" s="89"/>
      <c r="CJ410" s="89"/>
      <c r="CK410" s="89"/>
      <c r="CL410" s="89"/>
      <c r="CM410" s="89"/>
      <c r="CN410" s="89"/>
      <c r="CO410" s="89"/>
      <c r="CP410" s="89"/>
      <c r="CQ410" s="89"/>
    </row>
    <row r="411" spans="1:95" s="8" customFormat="1" ht="15" hidden="1" customHeight="1" outlineLevel="1" x14ac:dyDescent="0.25">
      <c r="A411" s="89"/>
      <c r="B411" s="143" t="s">
        <v>292</v>
      </c>
      <c r="C411" s="144">
        <f>SUM(Opening_without_45_with_xx_amenity_cost,Opening_without_45_48_with_xx_amenity_cost,Opening_without_48_51_with_xx_amenity_cost,Opening_without_51_54_with_xx_amenity_cost,Opening_without_54_57_with_xx_amenity_cost,Opening_without_57_60_with_xx_amenity_cost,Opening_without_60_63_with_xx_amenity_cost,Opening_without_63_66_with_xx_amenity_cost,Opening_without_66_69_with_xx_amenity_cost,Opening_without_69_72_with_xx_amenity_cost,Opening_without_72_75_with_xx_amenity_cost,Opening_without_75_78_with_xx_amenity_cost,Opening_without_78_81_with_xx_amenity_cost,Opening_without_81_with_xx_amenity_cost)</f>
        <v>-240044.82673760224</v>
      </c>
      <c r="D411" s="30" t="s">
        <v>274</v>
      </c>
      <c r="E411" s="133"/>
      <c r="F411" s="133"/>
      <c r="G411" s="133"/>
      <c r="H411" s="133"/>
      <c r="I411" s="133"/>
      <c r="J411" s="133"/>
      <c r="K411" s="133"/>
      <c r="L411" s="133"/>
      <c r="M411" s="133"/>
      <c r="N411" s="133"/>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row>
    <row r="412" spans="1:95" s="8" customFormat="1" ht="15" hidden="1" customHeight="1" outlineLevel="1" x14ac:dyDescent="0.25">
      <c r="A412" s="89"/>
      <c r="B412" s="133"/>
      <c r="C412" s="133"/>
      <c r="D412" s="133"/>
      <c r="E412" s="133"/>
      <c r="F412" s="133"/>
      <c r="G412" s="133"/>
      <c r="H412" s="133"/>
      <c r="I412" s="133"/>
      <c r="J412" s="133"/>
      <c r="K412" s="133"/>
      <c r="L412" s="133"/>
      <c r="M412" s="133"/>
      <c r="N412" s="133"/>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89"/>
      <c r="CD412" s="89"/>
      <c r="CE412" s="89"/>
      <c r="CF412" s="89"/>
      <c r="CG412" s="89"/>
      <c r="CH412" s="89"/>
      <c r="CI412" s="89"/>
      <c r="CJ412" s="89"/>
      <c r="CK412" s="89"/>
      <c r="CL412" s="89"/>
      <c r="CM412" s="89"/>
      <c r="CN412" s="89"/>
      <c r="CO412" s="89"/>
      <c r="CP412" s="89"/>
      <c r="CQ412" s="89"/>
    </row>
    <row r="413" spans="1:95" s="29" customFormat="1" ht="15.75" hidden="1" outlineLevel="1" x14ac:dyDescent="0.25">
      <c r="B413" s="29" t="s">
        <v>293</v>
      </c>
    </row>
    <row r="414" spans="1:95" s="8" customFormat="1" ht="15" hidden="1" customHeight="1" outlineLevel="1" x14ac:dyDescent="0.25">
      <c r="A414" s="89"/>
      <c r="B414" s="133"/>
      <c r="C414" s="133"/>
      <c r="D414" s="133"/>
      <c r="E414" s="133"/>
      <c r="F414" s="133"/>
      <c r="G414" s="133"/>
      <c r="H414" s="133"/>
      <c r="I414" s="133"/>
      <c r="J414" s="133"/>
      <c r="K414" s="133"/>
      <c r="L414" s="133"/>
      <c r="M414" s="133"/>
      <c r="N414" s="133"/>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89"/>
      <c r="CD414" s="89"/>
      <c r="CE414" s="89"/>
      <c r="CF414" s="89"/>
      <c r="CG414" s="89"/>
      <c r="CH414" s="89"/>
      <c r="CI414" s="89"/>
      <c r="CJ414" s="89"/>
      <c r="CK414" s="89"/>
      <c r="CL414" s="89"/>
      <c r="CM414" s="89"/>
      <c r="CN414" s="89"/>
      <c r="CO414" s="89"/>
      <c r="CP414" s="89"/>
      <c r="CQ414" s="89"/>
    </row>
    <row r="415" spans="1:95" s="8" customFormat="1" ht="15" hidden="1" customHeight="1" outlineLevel="1" x14ac:dyDescent="0.25">
      <c r="A415" s="89"/>
      <c r="B415" s="134"/>
      <c r="C415" s="91" t="s">
        <v>15</v>
      </c>
      <c r="D415" s="92" t="s">
        <v>16</v>
      </c>
      <c r="E415" s="135" t="s">
        <v>17</v>
      </c>
      <c r="F415" s="135" t="s">
        <v>18</v>
      </c>
      <c r="G415" s="135" t="s">
        <v>19</v>
      </c>
      <c r="H415" s="135" t="s">
        <v>20</v>
      </c>
      <c r="I415" s="135" t="s">
        <v>21</v>
      </c>
      <c r="J415" s="135" t="s">
        <v>22</v>
      </c>
      <c r="K415" s="135" t="s">
        <v>23</v>
      </c>
      <c r="L415" s="135" t="s">
        <v>24</v>
      </c>
      <c r="M415" s="135" t="s">
        <v>25</v>
      </c>
      <c r="N415" s="135" t="s">
        <v>26</v>
      </c>
      <c r="O415" s="135" t="s">
        <v>27</v>
      </c>
      <c r="P415" s="135" t="s">
        <v>28</v>
      </c>
      <c r="Q415" s="135" t="s">
        <v>29</v>
      </c>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89"/>
      <c r="CD415" s="89"/>
      <c r="CE415" s="89"/>
      <c r="CF415" s="89"/>
      <c r="CG415" s="89"/>
      <c r="CH415" s="89"/>
      <c r="CI415" s="89"/>
      <c r="CJ415" s="89"/>
      <c r="CK415" s="89"/>
      <c r="CL415" s="89"/>
      <c r="CM415" s="89"/>
      <c r="CN415" s="89"/>
      <c r="CO415" s="89"/>
      <c r="CP415" s="89"/>
      <c r="CQ415" s="89"/>
    </row>
    <row r="416" spans="1:95" s="8" customFormat="1" ht="15" hidden="1" customHeight="1" outlineLevel="1" x14ac:dyDescent="0.25">
      <c r="A416" s="89"/>
      <c r="B416" s="91" t="s">
        <v>30</v>
      </c>
      <c r="C416" s="136"/>
      <c r="D416" s="137"/>
      <c r="E416" s="138"/>
      <c r="F416" s="138"/>
      <c r="G416" s="138"/>
      <c r="H416" s="138"/>
      <c r="I416" s="138"/>
      <c r="J416" s="138"/>
      <c r="K416" s="138"/>
      <c r="L416" s="138"/>
      <c r="M416" s="138"/>
      <c r="N416" s="138"/>
      <c r="O416" s="138"/>
      <c r="P416" s="138"/>
      <c r="Q416" s="136"/>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89"/>
      <c r="CD416" s="89"/>
      <c r="CE416" s="89"/>
      <c r="CF416" s="89"/>
      <c r="CG416" s="89"/>
      <c r="CH416" s="89"/>
      <c r="CI416" s="89"/>
      <c r="CJ416" s="89"/>
      <c r="CK416" s="89"/>
      <c r="CL416" s="89"/>
      <c r="CM416" s="89"/>
      <c r="CN416" s="89"/>
      <c r="CO416" s="89"/>
      <c r="CP416" s="89"/>
      <c r="CQ416" s="89"/>
    </row>
    <row r="417" spans="1:95" s="8" customFormat="1" ht="15" hidden="1" customHeight="1" outlineLevel="1" x14ac:dyDescent="0.25">
      <c r="A417" s="89"/>
      <c r="B417" s="92" t="s">
        <v>16</v>
      </c>
      <c r="C417" s="139"/>
      <c r="D417" s="145">
        <f t="shared" ref="D417:Q417" si="64">Forecast_without_45_with_xx*Without_45_with_xx_amenity_value</f>
        <v>0</v>
      </c>
      <c r="E417" s="145">
        <f t="shared" si="64"/>
        <v>-747.47736517895441</v>
      </c>
      <c r="F417" s="145">
        <f t="shared" si="64"/>
        <v>0</v>
      </c>
      <c r="G417" s="145">
        <f t="shared" si="64"/>
        <v>0</v>
      </c>
      <c r="H417" s="145">
        <f t="shared" si="64"/>
        <v>0</v>
      </c>
      <c r="I417" s="145">
        <f t="shared" si="64"/>
        <v>0</v>
      </c>
      <c r="J417" s="145">
        <f t="shared" si="64"/>
        <v>0</v>
      </c>
      <c r="K417" s="145">
        <f t="shared" si="64"/>
        <v>0</v>
      </c>
      <c r="L417" s="145">
        <f t="shared" si="64"/>
        <v>0</v>
      </c>
      <c r="M417" s="145">
        <f t="shared" si="64"/>
        <v>0</v>
      </c>
      <c r="N417" s="145">
        <f t="shared" si="64"/>
        <v>0</v>
      </c>
      <c r="O417" s="145">
        <f t="shared" si="64"/>
        <v>0</v>
      </c>
      <c r="P417" s="145">
        <f t="shared" si="64"/>
        <v>0</v>
      </c>
      <c r="Q417" s="145">
        <f t="shared" si="64"/>
        <v>0</v>
      </c>
      <c r="R417" s="26" t="s">
        <v>275</v>
      </c>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89"/>
      <c r="CD417" s="89"/>
      <c r="CE417" s="89"/>
      <c r="CF417" s="89"/>
      <c r="CG417" s="89"/>
      <c r="CH417" s="89"/>
      <c r="CI417" s="89"/>
      <c r="CJ417" s="89"/>
      <c r="CK417" s="89"/>
      <c r="CL417" s="89"/>
      <c r="CM417" s="89"/>
      <c r="CN417" s="89"/>
      <c r="CO417" s="89"/>
      <c r="CP417" s="89"/>
      <c r="CQ417" s="89"/>
    </row>
    <row r="418" spans="1:95" s="8" customFormat="1" ht="15" hidden="1" customHeight="1" outlineLevel="1" x14ac:dyDescent="0.25">
      <c r="A418" s="89"/>
      <c r="B418" s="135" t="s">
        <v>17</v>
      </c>
      <c r="C418" s="141"/>
      <c r="D418" s="145">
        <f t="shared" ref="D418:Q418" si="65">Forecast_without_45_48_with_xx*Without_45_48_with_xx_amenity_value</f>
        <v>0</v>
      </c>
      <c r="E418" s="145">
        <f t="shared" si="65"/>
        <v>0</v>
      </c>
      <c r="F418" s="145">
        <f t="shared" si="65"/>
        <v>-27541.985378173591</v>
      </c>
      <c r="G418" s="145">
        <f t="shared" si="65"/>
        <v>-3444.3644012558602</v>
      </c>
      <c r="H418" s="145">
        <f t="shared" si="65"/>
        <v>-5354.2732404915314</v>
      </c>
      <c r="I418" s="145">
        <f t="shared" si="65"/>
        <v>-4695.2589352430887</v>
      </c>
      <c r="J418" s="145">
        <f t="shared" si="65"/>
        <v>-245.8659523840771</v>
      </c>
      <c r="K418" s="145">
        <f t="shared" si="65"/>
        <v>0</v>
      </c>
      <c r="L418" s="145">
        <f t="shared" si="65"/>
        <v>0</v>
      </c>
      <c r="M418" s="145">
        <f t="shared" si="65"/>
        <v>0</v>
      </c>
      <c r="N418" s="145">
        <f t="shared" si="65"/>
        <v>0</v>
      </c>
      <c r="O418" s="145">
        <f t="shared" si="65"/>
        <v>0</v>
      </c>
      <c r="P418" s="145">
        <f t="shared" si="65"/>
        <v>0</v>
      </c>
      <c r="Q418" s="145">
        <f t="shared" si="65"/>
        <v>0</v>
      </c>
      <c r="R418" s="26" t="s">
        <v>276</v>
      </c>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row>
    <row r="419" spans="1:95" s="8" customFormat="1" ht="15" hidden="1" customHeight="1" outlineLevel="1" x14ac:dyDescent="0.25">
      <c r="A419" s="89"/>
      <c r="B419" s="135" t="s">
        <v>18</v>
      </c>
      <c r="C419" s="141"/>
      <c r="D419" s="145">
        <f t="shared" ref="D419:Q419" si="66">Forecast_without_48_51_with_xx*Without_48_51_with_xx_amenity_value</f>
        <v>0</v>
      </c>
      <c r="E419" s="145">
        <f t="shared" si="66"/>
        <v>0</v>
      </c>
      <c r="F419" s="145">
        <f t="shared" si="66"/>
        <v>0</v>
      </c>
      <c r="G419" s="145">
        <f t="shared" si="66"/>
        <v>-45482.363073926754</v>
      </c>
      <c r="H419" s="145">
        <f t="shared" si="66"/>
        <v>-10904.418509035586</v>
      </c>
      <c r="I419" s="145">
        <f t="shared" si="66"/>
        <v>-848.28826261057566</v>
      </c>
      <c r="J419" s="145">
        <f t="shared" si="66"/>
        <v>-213.34885040276237</v>
      </c>
      <c r="K419" s="145">
        <f t="shared" si="66"/>
        <v>-605.70331888907617</v>
      </c>
      <c r="L419" s="145">
        <f t="shared" si="66"/>
        <v>0</v>
      </c>
      <c r="M419" s="145">
        <f t="shared" si="66"/>
        <v>-1093.4793468155694</v>
      </c>
      <c r="N419" s="145">
        <f t="shared" si="66"/>
        <v>0</v>
      </c>
      <c r="O419" s="145">
        <f t="shared" si="66"/>
        <v>0</v>
      </c>
      <c r="P419" s="145">
        <f t="shared" si="66"/>
        <v>0</v>
      </c>
      <c r="Q419" s="145">
        <f t="shared" si="66"/>
        <v>0</v>
      </c>
      <c r="R419" s="26" t="s">
        <v>277</v>
      </c>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89"/>
      <c r="CD419" s="89"/>
      <c r="CE419" s="89"/>
      <c r="CF419" s="89"/>
      <c r="CG419" s="89"/>
      <c r="CH419" s="89"/>
      <c r="CI419" s="89"/>
      <c r="CJ419" s="89"/>
      <c r="CK419" s="89"/>
      <c r="CL419" s="89"/>
      <c r="CM419" s="89"/>
      <c r="CN419" s="89"/>
      <c r="CO419" s="89"/>
      <c r="CP419" s="89"/>
      <c r="CQ419" s="89"/>
    </row>
    <row r="420" spans="1:95" s="8" customFormat="1" ht="15" hidden="1" customHeight="1" outlineLevel="1" x14ac:dyDescent="0.25">
      <c r="A420" s="89"/>
      <c r="B420" s="135" t="s">
        <v>19</v>
      </c>
      <c r="C420" s="141"/>
      <c r="D420" s="145">
        <f t="shared" ref="D420:Q420" si="67">Forecast_without_51_54_with_xx*Without_51_54_with_xx_amenity_value</f>
        <v>0</v>
      </c>
      <c r="E420" s="145">
        <f t="shared" si="67"/>
        <v>0</v>
      </c>
      <c r="F420" s="145">
        <f t="shared" si="67"/>
        <v>113.32814719416965</v>
      </c>
      <c r="G420" s="145">
        <f t="shared" si="67"/>
        <v>0</v>
      </c>
      <c r="H420" s="145">
        <f t="shared" si="67"/>
        <v>-41263.163514663865</v>
      </c>
      <c r="I420" s="145">
        <f t="shared" si="67"/>
        <v>-8288.4262429631508</v>
      </c>
      <c r="J420" s="145">
        <f t="shared" si="67"/>
        <v>-4916.0384374650957</v>
      </c>
      <c r="K420" s="145">
        <f t="shared" si="67"/>
        <v>-4771.3609868366675</v>
      </c>
      <c r="L420" s="145">
        <f t="shared" si="67"/>
        <v>-4127.0113755937937</v>
      </c>
      <c r="M420" s="145">
        <f t="shared" si="67"/>
        <v>-1017.927248686123</v>
      </c>
      <c r="N420" s="145">
        <f t="shared" si="67"/>
        <v>-1338.9740471864318</v>
      </c>
      <c r="O420" s="145">
        <f t="shared" si="67"/>
        <v>-3432.0954099952951</v>
      </c>
      <c r="P420" s="145">
        <f t="shared" si="67"/>
        <v>0</v>
      </c>
      <c r="Q420" s="145">
        <f t="shared" si="67"/>
        <v>0</v>
      </c>
      <c r="R420" s="26" t="s">
        <v>278</v>
      </c>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89"/>
      <c r="CD420" s="89"/>
      <c r="CE420" s="89"/>
      <c r="CF420" s="89"/>
      <c r="CG420" s="89"/>
      <c r="CH420" s="89"/>
      <c r="CI420" s="89"/>
      <c r="CJ420" s="89"/>
      <c r="CK420" s="89"/>
      <c r="CL420" s="89"/>
      <c r="CM420" s="89"/>
      <c r="CN420" s="89"/>
      <c r="CO420" s="89"/>
      <c r="CP420" s="89"/>
      <c r="CQ420" s="89"/>
    </row>
    <row r="421" spans="1:95" s="8" customFormat="1" ht="15" hidden="1" customHeight="1" outlineLevel="1" x14ac:dyDescent="0.25">
      <c r="A421" s="89"/>
      <c r="B421" s="135" t="s">
        <v>20</v>
      </c>
      <c r="C421" s="141"/>
      <c r="D421" s="145">
        <f t="shared" ref="D421:Q421" si="68">Forecast_without_54_57_with_xx*Without_54_57_with_xx_amenity_value</f>
        <v>0</v>
      </c>
      <c r="E421" s="145">
        <f t="shared" si="68"/>
        <v>0</v>
      </c>
      <c r="F421" s="145">
        <f t="shared" si="68"/>
        <v>0</v>
      </c>
      <c r="G421" s="145">
        <f t="shared" si="68"/>
        <v>276.62455987484157</v>
      </c>
      <c r="H421" s="145">
        <f t="shared" si="68"/>
        <v>0</v>
      </c>
      <c r="I421" s="145">
        <f t="shared" si="68"/>
        <v>-14202.804976967751</v>
      </c>
      <c r="J421" s="145">
        <f t="shared" si="68"/>
        <v>-2071.4993284090488</v>
      </c>
      <c r="K421" s="145">
        <f t="shared" si="68"/>
        <v>0</v>
      </c>
      <c r="L421" s="145">
        <f t="shared" si="68"/>
        <v>-329.07875901423489</v>
      </c>
      <c r="M421" s="145">
        <f t="shared" si="68"/>
        <v>-925.7190620611758</v>
      </c>
      <c r="N421" s="145">
        <f t="shared" si="68"/>
        <v>0</v>
      </c>
      <c r="O421" s="145">
        <f t="shared" si="68"/>
        <v>0</v>
      </c>
      <c r="P421" s="145">
        <f t="shared" si="68"/>
        <v>0</v>
      </c>
      <c r="Q421" s="145">
        <f t="shared" si="68"/>
        <v>0</v>
      </c>
      <c r="R421" s="26" t="s">
        <v>279</v>
      </c>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89"/>
      <c r="CD421" s="89"/>
      <c r="CE421" s="89"/>
      <c r="CF421" s="89"/>
      <c r="CG421" s="89"/>
      <c r="CH421" s="89"/>
      <c r="CI421" s="89"/>
      <c r="CJ421" s="89"/>
      <c r="CK421" s="89"/>
      <c r="CL421" s="89"/>
      <c r="CM421" s="89"/>
      <c r="CN421" s="89"/>
      <c r="CO421" s="89"/>
      <c r="CP421" s="89"/>
      <c r="CQ421" s="89"/>
    </row>
    <row r="422" spans="1:95" s="8" customFormat="1" ht="15" hidden="1" customHeight="1" outlineLevel="1" x14ac:dyDescent="0.25">
      <c r="A422" s="89"/>
      <c r="B422" s="135" t="s">
        <v>21</v>
      </c>
      <c r="C422" s="141"/>
      <c r="D422" s="145">
        <f t="shared" ref="D422:Q422" si="69">Forecast_without_57_60_with_xx*Without_57_60_with_xx_amenity_value</f>
        <v>0</v>
      </c>
      <c r="E422" s="145">
        <f t="shared" si="69"/>
        <v>0</v>
      </c>
      <c r="F422" s="145">
        <f t="shared" si="69"/>
        <v>0</v>
      </c>
      <c r="G422" s="145">
        <f t="shared" si="69"/>
        <v>0</v>
      </c>
      <c r="H422" s="145">
        <f t="shared" si="69"/>
        <v>1840.0395111861053</v>
      </c>
      <c r="I422" s="145">
        <f t="shared" si="69"/>
        <v>0</v>
      </c>
      <c r="J422" s="145">
        <f t="shared" si="69"/>
        <v>-9931.5113155379659</v>
      </c>
      <c r="K422" s="145">
        <f t="shared" si="69"/>
        <v>-1453.2325410849794</v>
      </c>
      <c r="L422" s="145">
        <f t="shared" si="69"/>
        <v>-543.1550485793382</v>
      </c>
      <c r="M422" s="145">
        <f t="shared" si="69"/>
        <v>-810.71659261204422</v>
      </c>
      <c r="N422" s="145">
        <f t="shared" si="69"/>
        <v>0</v>
      </c>
      <c r="O422" s="145">
        <f t="shared" si="69"/>
        <v>0</v>
      </c>
      <c r="P422" s="145">
        <f t="shared" si="69"/>
        <v>0</v>
      </c>
      <c r="Q422" s="145">
        <f t="shared" si="69"/>
        <v>0</v>
      </c>
      <c r="R422" s="26" t="s">
        <v>280</v>
      </c>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89"/>
      <c r="CD422" s="89"/>
      <c r="CE422" s="89"/>
      <c r="CF422" s="89"/>
      <c r="CG422" s="89"/>
      <c r="CH422" s="89"/>
      <c r="CI422" s="89"/>
      <c r="CJ422" s="89"/>
      <c r="CK422" s="89"/>
      <c r="CL422" s="89"/>
      <c r="CM422" s="89"/>
      <c r="CN422" s="89"/>
      <c r="CO422" s="89"/>
      <c r="CP422" s="89"/>
      <c r="CQ422" s="89"/>
    </row>
    <row r="423" spans="1:95" s="8" customFormat="1" ht="15" hidden="1" customHeight="1" outlineLevel="1" x14ac:dyDescent="0.25">
      <c r="A423" s="89"/>
      <c r="B423" s="135" t="s">
        <v>22</v>
      </c>
      <c r="C423" s="141"/>
      <c r="D423" s="145">
        <f t="shared" ref="D423:Q423" si="70">Forecast_without_60_63_with_xx*Without_60_63_with_xx_amenity_value</f>
        <v>0</v>
      </c>
      <c r="E423" s="145">
        <f t="shared" si="70"/>
        <v>0</v>
      </c>
      <c r="F423" s="145">
        <f t="shared" si="70"/>
        <v>0</v>
      </c>
      <c r="G423" s="145">
        <f t="shared" si="70"/>
        <v>0</v>
      </c>
      <c r="H423" s="145">
        <f t="shared" si="70"/>
        <v>0</v>
      </c>
      <c r="I423" s="145">
        <f t="shared" si="70"/>
        <v>5757.3978640799805</v>
      </c>
      <c r="J423" s="145">
        <f t="shared" si="70"/>
        <v>0</v>
      </c>
      <c r="K423" s="145">
        <f t="shared" si="70"/>
        <v>-14678.460682851215</v>
      </c>
      <c r="L423" s="145">
        <f t="shared" si="70"/>
        <v>-3592.9809177960478</v>
      </c>
      <c r="M423" s="145">
        <f t="shared" si="70"/>
        <v>-333.3908230050223</v>
      </c>
      <c r="N423" s="145">
        <f t="shared" si="70"/>
        <v>0</v>
      </c>
      <c r="O423" s="145">
        <f t="shared" si="70"/>
        <v>0</v>
      </c>
      <c r="P423" s="145">
        <f t="shared" si="70"/>
        <v>0</v>
      </c>
      <c r="Q423" s="145">
        <f t="shared" si="70"/>
        <v>0</v>
      </c>
      <c r="R423" s="26" t="s">
        <v>281</v>
      </c>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89"/>
      <c r="CD423" s="89"/>
      <c r="CE423" s="89"/>
      <c r="CF423" s="89"/>
      <c r="CG423" s="89"/>
      <c r="CH423" s="89"/>
      <c r="CI423" s="89"/>
      <c r="CJ423" s="89"/>
      <c r="CK423" s="89"/>
      <c r="CL423" s="89"/>
      <c r="CM423" s="89"/>
      <c r="CN423" s="89"/>
      <c r="CO423" s="89"/>
      <c r="CP423" s="89"/>
      <c r="CQ423" s="89"/>
    </row>
    <row r="424" spans="1:95" s="8" customFormat="1" ht="15" hidden="1" customHeight="1" outlineLevel="1" x14ac:dyDescent="0.25">
      <c r="A424" s="89"/>
      <c r="B424" s="135" t="s">
        <v>23</v>
      </c>
      <c r="C424" s="141"/>
      <c r="D424" s="145">
        <f t="shared" ref="D424:Q424" si="71">Forecast_without_63_66_with_xx*Without_63_66_with_xx_amenity_value</f>
        <v>0</v>
      </c>
      <c r="E424" s="145">
        <f t="shared" si="71"/>
        <v>0</v>
      </c>
      <c r="F424" s="145">
        <f t="shared" si="71"/>
        <v>0</v>
      </c>
      <c r="G424" s="145">
        <f t="shared" si="71"/>
        <v>0</v>
      </c>
      <c r="H424" s="145">
        <f t="shared" si="71"/>
        <v>0</v>
      </c>
      <c r="I424" s="145">
        <f t="shared" si="71"/>
        <v>8396.4546818243252</v>
      </c>
      <c r="J424" s="145">
        <f t="shared" si="71"/>
        <v>626.51966329242998</v>
      </c>
      <c r="K424" s="145">
        <f t="shared" si="71"/>
        <v>0</v>
      </c>
      <c r="L424" s="145">
        <f t="shared" si="71"/>
        <v>-16075.657324246467</v>
      </c>
      <c r="M424" s="145">
        <f t="shared" si="71"/>
        <v>-975.55205585298654</v>
      </c>
      <c r="N424" s="145">
        <f t="shared" si="71"/>
        <v>0</v>
      </c>
      <c r="O424" s="145">
        <f t="shared" si="71"/>
        <v>0</v>
      </c>
      <c r="P424" s="145">
        <f t="shared" si="71"/>
        <v>0</v>
      </c>
      <c r="Q424" s="145">
        <f t="shared" si="71"/>
        <v>0</v>
      </c>
      <c r="R424" s="26" t="s">
        <v>282</v>
      </c>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89"/>
      <c r="CD424" s="89"/>
      <c r="CE424" s="89"/>
      <c r="CF424" s="89"/>
      <c r="CG424" s="89"/>
      <c r="CH424" s="89"/>
      <c r="CI424" s="89"/>
      <c r="CJ424" s="89"/>
      <c r="CK424" s="89"/>
      <c r="CL424" s="89"/>
      <c r="CM424" s="89"/>
      <c r="CN424" s="89"/>
      <c r="CO424" s="89"/>
      <c r="CP424" s="89"/>
      <c r="CQ424" s="89"/>
    </row>
    <row r="425" spans="1:95" s="8" customFormat="1" ht="15" hidden="1" customHeight="1" outlineLevel="1" x14ac:dyDescent="0.25">
      <c r="A425" s="89"/>
      <c r="B425" s="135" t="s">
        <v>24</v>
      </c>
      <c r="C425" s="141"/>
      <c r="D425" s="145">
        <f t="shared" ref="D425:Q425" si="72">Forecast_without_66_69_with_xx*Without_66_69_with_xx_amenity_value</f>
        <v>0</v>
      </c>
      <c r="E425" s="145">
        <f t="shared" si="72"/>
        <v>0</v>
      </c>
      <c r="F425" s="145">
        <f t="shared" si="72"/>
        <v>0</v>
      </c>
      <c r="G425" s="145">
        <f t="shared" si="72"/>
        <v>0</v>
      </c>
      <c r="H425" s="145">
        <f t="shared" si="72"/>
        <v>0</v>
      </c>
      <c r="I425" s="145">
        <f t="shared" si="72"/>
        <v>0</v>
      </c>
      <c r="J425" s="145">
        <f t="shared" si="72"/>
        <v>0</v>
      </c>
      <c r="K425" s="145">
        <f t="shared" si="72"/>
        <v>6936.7562426542972</v>
      </c>
      <c r="L425" s="145">
        <f t="shared" si="72"/>
        <v>0</v>
      </c>
      <c r="M425" s="145">
        <f t="shared" si="72"/>
        <v>-3612.0808444415316</v>
      </c>
      <c r="N425" s="145">
        <f t="shared" si="72"/>
        <v>-588.60834253301482</v>
      </c>
      <c r="O425" s="145">
        <f t="shared" si="72"/>
        <v>0</v>
      </c>
      <c r="P425" s="145">
        <f t="shared" si="72"/>
        <v>0</v>
      </c>
      <c r="Q425" s="145">
        <f t="shared" si="72"/>
        <v>0</v>
      </c>
      <c r="R425" s="26" t="s">
        <v>283</v>
      </c>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89"/>
      <c r="CD425" s="89"/>
      <c r="CE425" s="89"/>
      <c r="CF425" s="89"/>
      <c r="CG425" s="89"/>
      <c r="CH425" s="89"/>
      <c r="CI425" s="89"/>
      <c r="CJ425" s="89"/>
      <c r="CK425" s="89"/>
      <c r="CL425" s="89"/>
      <c r="CM425" s="89"/>
      <c r="CN425" s="89"/>
      <c r="CO425" s="89"/>
      <c r="CP425" s="89"/>
      <c r="CQ425" s="89"/>
    </row>
    <row r="426" spans="1:95" s="8" customFormat="1" ht="15" hidden="1" customHeight="1" outlineLevel="1" x14ac:dyDescent="0.25">
      <c r="A426" s="89"/>
      <c r="B426" s="135" t="s">
        <v>25</v>
      </c>
      <c r="C426" s="141"/>
      <c r="D426" s="145">
        <f t="shared" ref="D426:Q426" si="73">Forecast_without_69_72_with_xx*Without_69_72_with_xx_amenity_value</f>
        <v>0</v>
      </c>
      <c r="E426" s="145">
        <f t="shared" si="73"/>
        <v>0</v>
      </c>
      <c r="F426" s="145">
        <f t="shared" si="73"/>
        <v>0</v>
      </c>
      <c r="G426" s="145">
        <f t="shared" si="73"/>
        <v>0</v>
      </c>
      <c r="H426" s="145">
        <f t="shared" si="73"/>
        <v>0</v>
      </c>
      <c r="I426" s="145">
        <f t="shared" si="73"/>
        <v>0</v>
      </c>
      <c r="J426" s="145">
        <f t="shared" si="73"/>
        <v>0</v>
      </c>
      <c r="K426" s="145">
        <f t="shared" si="73"/>
        <v>0</v>
      </c>
      <c r="L426" s="145">
        <f t="shared" si="73"/>
        <v>4548.546248556002</v>
      </c>
      <c r="M426" s="145">
        <f t="shared" si="73"/>
        <v>0</v>
      </c>
      <c r="N426" s="145">
        <f t="shared" si="73"/>
        <v>-5939.3657722557136</v>
      </c>
      <c r="O426" s="145">
        <f t="shared" si="73"/>
        <v>0</v>
      </c>
      <c r="P426" s="145">
        <f t="shared" si="73"/>
        <v>0</v>
      </c>
      <c r="Q426" s="145">
        <f t="shared" si="73"/>
        <v>0</v>
      </c>
      <c r="R426" s="26" t="s">
        <v>284</v>
      </c>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row>
    <row r="427" spans="1:95" s="8" customFormat="1" ht="15" hidden="1" customHeight="1" outlineLevel="1" x14ac:dyDescent="0.25">
      <c r="A427" s="89"/>
      <c r="B427" s="135" t="s">
        <v>26</v>
      </c>
      <c r="C427" s="141"/>
      <c r="D427" s="145">
        <f t="shared" ref="D427:Q427" si="74">Forecast_without_72_75_with_xx*Without_72_75_with_xx_amenity_value</f>
        <v>0</v>
      </c>
      <c r="E427" s="145">
        <f t="shared" si="74"/>
        <v>0</v>
      </c>
      <c r="F427" s="145">
        <f t="shared" si="74"/>
        <v>0</v>
      </c>
      <c r="G427" s="145">
        <f t="shared" si="74"/>
        <v>0</v>
      </c>
      <c r="H427" s="145">
        <f t="shared" si="74"/>
        <v>0</v>
      </c>
      <c r="I427" s="145">
        <f t="shared" si="74"/>
        <v>0</v>
      </c>
      <c r="J427" s="145">
        <f t="shared" si="74"/>
        <v>0</v>
      </c>
      <c r="K427" s="145">
        <f t="shared" si="74"/>
        <v>0</v>
      </c>
      <c r="L427" s="145">
        <f t="shared" si="74"/>
        <v>0</v>
      </c>
      <c r="M427" s="145">
        <f t="shared" si="74"/>
        <v>5939.3657722557136</v>
      </c>
      <c r="N427" s="145">
        <f t="shared" si="74"/>
        <v>0</v>
      </c>
      <c r="O427" s="145">
        <f t="shared" si="74"/>
        <v>-1319.7578023392548</v>
      </c>
      <c r="P427" s="145">
        <f t="shared" si="74"/>
        <v>-383.9826611186121</v>
      </c>
      <c r="Q427" s="145">
        <f t="shared" si="74"/>
        <v>0</v>
      </c>
      <c r="R427" s="26" t="s">
        <v>285</v>
      </c>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89"/>
      <c r="CD427" s="89"/>
      <c r="CE427" s="89"/>
      <c r="CF427" s="89"/>
      <c r="CG427" s="89"/>
      <c r="CH427" s="89"/>
      <c r="CI427" s="89"/>
      <c r="CJ427" s="89"/>
      <c r="CK427" s="89"/>
      <c r="CL427" s="89"/>
      <c r="CM427" s="89"/>
      <c r="CN427" s="89"/>
      <c r="CO427" s="89"/>
      <c r="CP427" s="89"/>
      <c r="CQ427" s="89"/>
    </row>
    <row r="428" spans="1:95" s="8" customFormat="1" ht="15" hidden="1" customHeight="1" outlineLevel="1" x14ac:dyDescent="0.25">
      <c r="A428" s="89"/>
      <c r="B428" s="135" t="s">
        <v>27</v>
      </c>
      <c r="C428" s="141"/>
      <c r="D428" s="145">
        <f>Forecast_without_75_78_with_xx*Without_75_78_with_xx_amenity_value</f>
        <v>0</v>
      </c>
      <c r="E428" s="145">
        <f t="shared" ref="E428:Q428" si="75">Forecast_without_75_78_with_xx*Without_75_78_with_xx_amenity_value</f>
        <v>0</v>
      </c>
      <c r="F428" s="145">
        <f t="shared" si="75"/>
        <v>0</v>
      </c>
      <c r="G428" s="145">
        <f t="shared" si="75"/>
        <v>0</v>
      </c>
      <c r="H428" s="145">
        <f t="shared" si="75"/>
        <v>0</v>
      </c>
      <c r="I428" s="145">
        <f t="shared" si="75"/>
        <v>0</v>
      </c>
      <c r="J428" s="145">
        <f t="shared" si="75"/>
        <v>0</v>
      </c>
      <c r="K428" s="145">
        <f t="shared" si="75"/>
        <v>0</v>
      </c>
      <c r="L428" s="145">
        <f t="shared" si="75"/>
        <v>0</v>
      </c>
      <c r="M428" s="145">
        <f t="shared" si="75"/>
        <v>0</v>
      </c>
      <c r="N428" s="145">
        <f t="shared" si="75"/>
        <v>565.61048671682352</v>
      </c>
      <c r="O428" s="145">
        <f t="shared" si="75"/>
        <v>0</v>
      </c>
      <c r="P428" s="145">
        <f t="shared" si="75"/>
        <v>0</v>
      </c>
      <c r="Q428" s="145">
        <f t="shared" si="75"/>
        <v>0</v>
      </c>
      <c r="R428" s="26" t="s">
        <v>286</v>
      </c>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89"/>
      <c r="CD428" s="89"/>
      <c r="CE428" s="89"/>
      <c r="CF428" s="89"/>
      <c r="CG428" s="89"/>
      <c r="CH428" s="89"/>
      <c r="CI428" s="89"/>
      <c r="CJ428" s="89"/>
      <c r="CK428" s="89"/>
      <c r="CL428" s="89"/>
      <c r="CM428" s="89"/>
      <c r="CN428" s="89"/>
      <c r="CO428" s="89"/>
      <c r="CP428" s="89"/>
      <c r="CQ428" s="89"/>
    </row>
    <row r="429" spans="1:95" s="8" customFormat="1" ht="15" hidden="1" customHeight="1" outlineLevel="1" x14ac:dyDescent="0.25">
      <c r="A429" s="89"/>
      <c r="B429" s="135" t="s">
        <v>28</v>
      </c>
      <c r="C429" s="141"/>
      <c r="D429" s="145">
        <f t="shared" ref="D429:Q429" si="76">Forecast_without_78_81_with_xx*Without_78_81_with_xx_amenity_value</f>
        <v>0</v>
      </c>
      <c r="E429" s="145">
        <f t="shared" si="76"/>
        <v>0</v>
      </c>
      <c r="F429" s="145">
        <f t="shared" si="76"/>
        <v>0</v>
      </c>
      <c r="G429" s="145">
        <f t="shared" si="76"/>
        <v>0</v>
      </c>
      <c r="H429" s="145">
        <f t="shared" si="76"/>
        <v>0</v>
      </c>
      <c r="I429" s="145">
        <f t="shared" si="76"/>
        <v>0</v>
      </c>
      <c r="J429" s="145">
        <f t="shared" si="76"/>
        <v>0</v>
      </c>
      <c r="K429" s="145">
        <f t="shared" si="76"/>
        <v>0</v>
      </c>
      <c r="L429" s="145">
        <f t="shared" si="76"/>
        <v>0</v>
      </c>
      <c r="M429" s="145">
        <f t="shared" si="76"/>
        <v>0</v>
      </c>
      <c r="N429" s="145">
        <f t="shared" si="76"/>
        <v>0</v>
      </c>
      <c r="O429" s="145">
        <f t="shared" si="76"/>
        <v>0</v>
      </c>
      <c r="P429" s="145">
        <f t="shared" si="76"/>
        <v>0</v>
      </c>
      <c r="Q429" s="145">
        <f t="shared" si="76"/>
        <v>0</v>
      </c>
      <c r="R429" s="26" t="s">
        <v>287</v>
      </c>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row>
    <row r="430" spans="1:95" s="8" customFormat="1" ht="15" hidden="1" customHeight="1" outlineLevel="1" x14ac:dyDescent="0.25">
      <c r="A430" s="89"/>
      <c r="B430" s="135" t="s">
        <v>29</v>
      </c>
      <c r="C430" s="142"/>
      <c r="D430" s="145">
        <f t="shared" ref="D430:Q430" si="77">Forecast_without_81_with_xx*Without_81_with_xx_amenity_value</f>
        <v>0</v>
      </c>
      <c r="E430" s="145">
        <f t="shared" si="77"/>
        <v>0</v>
      </c>
      <c r="F430" s="145">
        <f t="shared" si="77"/>
        <v>0</v>
      </c>
      <c r="G430" s="145">
        <f t="shared" si="77"/>
        <v>0</v>
      </c>
      <c r="H430" s="145">
        <f t="shared" si="77"/>
        <v>0</v>
      </c>
      <c r="I430" s="145">
        <f t="shared" si="77"/>
        <v>0</v>
      </c>
      <c r="J430" s="145">
        <f t="shared" si="77"/>
        <v>0</v>
      </c>
      <c r="K430" s="145">
        <f t="shared" si="77"/>
        <v>0</v>
      </c>
      <c r="L430" s="145">
        <f t="shared" si="77"/>
        <v>0</v>
      </c>
      <c r="M430" s="145">
        <f t="shared" si="77"/>
        <v>0</v>
      </c>
      <c r="N430" s="145">
        <f t="shared" si="77"/>
        <v>0</v>
      </c>
      <c r="O430" s="145">
        <f t="shared" si="77"/>
        <v>0</v>
      </c>
      <c r="P430" s="145">
        <f t="shared" si="77"/>
        <v>0</v>
      </c>
      <c r="Q430" s="145">
        <f t="shared" si="77"/>
        <v>0</v>
      </c>
      <c r="R430" s="26" t="s">
        <v>288</v>
      </c>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89"/>
      <c r="CD430" s="89"/>
      <c r="CE430" s="89"/>
      <c r="CF430" s="89"/>
      <c r="CG430" s="89"/>
      <c r="CH430" s="89"/>
      <c r="CI430" s="89"/>
      <c r="CJ430" s="89"/>
      <c r="CK430" s="89"/>
      <c r="CL430" s="89"/>
      <c r="CM430" s="89"/>
      <c r="CN430" s="89"/>
      <c r="CO430" s="89"/>
      <c r="CP430" s="89"/>
      <c r="CQ430" s="89"/>
    </row>
    <row r="431" spans="1:95" s="8" customFormat="1" ht="15" hidden="1" customHeight="1" outlineLevel="1" x14ac:dyDescent="0.25">
      <c r="A431" s="89"/>
      <c r="B431" s="133"/>
      <c r="C431" s="133"/>
      <c r="D431" s="133"/>
      <c r="E431" s="133"/>
      <c r="F431" s="133"/>
      <c r="G431" s="133"/>
      <c r="H431" s="133"/>
      <c r="I431" s="133"/>
      <c r="J431" s="133"/>
      <c r="K431" s="133"/>
      <c r="L431" s="133"/>
      <c r="M431" s="133"/>
      <c r="N431" s="133"/>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c r="CP431" s="89"/>
      <c r="CQ431" s="89"/>
    </row>
    <row r="432" spans="1:95" s="8" customFormat="1" ht="15" hidden="1" customHeight="1" outlineLevel="1" x14ac:dyDescent="0.25">
      <c r="A432" s="89"/>
      <c r="B432" s="143" t="s">
        <v>294</v>
      </c>
      <c r="C432" s="144">
        <f>SUM(Forecast_without_45_with_xx_amenity_cost,Forecast_without_45_48_with_xx_amenity_cost,Forecast_without_48_51_with_xx_amenity_cost,Forecast_without_51_54_with_xx_amenity_cost,Forecast_without_54_57_with_xx_amenity_cost,Forecast_without_57_60_with_xx_amenity_cost,Forecast_without_60_63_with_xx_amenity_cost,Forecast_without_63_66_with_xx_amenity_cost,Forecast_without_66_69_with_xx_amenity_cost,Forecast_without_69_72_with_xx_amenity_cost,Forecast_without_72_75_with_xx_amenity_cost,Forecast_without_75_78_with_xx_amenity_cost,Forecast_without_78_81_with_xx_amenity_cost,Forecast_without_81_with_xx_amenity_cost,)</f>
        <v>-213098.73557086961</v>
      </c>
      <c r="D432" s="30" t="s">
        <v>289</v>
      </c>
      <c r="E432" s="133"/>
      <c r="F432" s="133"/>
      <c r="G432" s="133"/>
      <c r="H432" s="133"/>
      <c r="I432" s="133"/>
      <c r="J432" s="133"/>
      <c r="K432" s="133"/>
      <c r="L432" s="133"/>
      <c r="M432" s="133"/>
      <c r="N432" s="133"/>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c r="CP432" s="89"/>
      <c r="CQ432" s="89"/>
    </row>
    <row r="433" spans="1:95" s="8" customFormat="1" ht="15" hidden="1" customHeight="1" outlineLevel="1" x14ac:dyDescent="0.25">
      <c r="A433" s="89"/>
      <c r="B433" s="133"/>
      <c r="C433" s="133"/>
      <c r="D433" s="30"/>
      <c r="E433" s="133"/>
      <c r="F433" s="133"/>
      <c r="G433" s="133"/>
      <c r="H433" s="133"/>
      <c r="I433" s="133"/>
      <c r="J433" s="133"/>
      <c r="K433" s="133"/>
      <c r="L433" s="133"/>
      <c r="M433" s="133"/>
      <c r="N433" s="133"/>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c r="CP433" s="89"/>
      <c r="CQ433" s="89"/>
    </row>
    <row r="434" spans="1:95" s="8" customFormat="1" ht="15" hidden="1" customHeight="1" outlineLevel="1" x14ac:dyDescent="0.25">
      <c r="A434" s="89"/>
      <c r="B434" s="133" t="s">
        <v>295</v>
      </c>
      <c r="C434" s="144">
        <f>Forecast_year_amenity_cost-Opening_year_amenity_cost</f>
        <v>26946.091166732629</v>
      </c>
      <c r="D434" s="30" t="s">
        <v>290</v>
      </c>
      <c r="E434" s="133"/>
      <c r="F434" s="133"/>
      <c r="G434" s="133"/>
      <c r="H434" s="133"/>
      <c r="I434" s="133"/>
      <c r="J434" s="133"/>
      <c r="K434" s="133"/>
      <c r="L434" s="133"/>
      <c r="M434" s="133"/>
      <c r="N434" s="133"/>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row>
    <row r="435" spans="1:95" ht="15" hidden="1" outlineLevel="1" x14ac:dyDescent="0.25">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c r="AO435" s="131"/>
      <c r="AP435" s="131"/>
      <c r="AQ435" s="131"/>
      <c r="AR435" s="131"/>
      <c r="AS435" s="131"/>
      <c r="AT435" s="131"/>
      <c r="AU435" s="131"/>
      <c r="AV435" s="131"/>
      <c r="AW435" s="131"/>
      <c r="AX435" s="131"/>
      <c r="AY435" s="131"/>
      <c r="AZ435" s="131"/>
      <c r="BA435" s="131"/>
      <c r="BB435" s="131"/>
      <c r="BC435" s="131"/>
      <c r="BD435" s="131"/>
      <c r="BE435" s="131"/>
      <c r="BF435" s="131"/>
      <c r="BG435" s="131"/>
      <c r="BH435" s="131"/>
      <c r="BI435" s="131"/>
      <c r="BJ435" s="131"/>
      <c r="BK435" s="131"/>
      <c r="BL435" s="131"/>
      <c r="BM435" s="131"/>
      <c r="BN435" s="131"/>
      <c r="BO435" s="131"/>
      <c r="BP435" s="131"/>
      <c r="BQ435" s="131"/>
      <c r="BR435" s="131"/>
      <c r="BS435" s="131"/>
      <c r="BT435" s="131"/>
      <c r="BU435" s="131"/>
      <c r="BV435" s="131"/>
      <c r="BW435" s="131"/>
      <c r="BX435" s="131"/>
      <c r="BY435" s="131"/>
      <c r="BZ435" s="131"/>
      <c r="CA435" s="131"/>
      <c r="CB435" s="131"/>
      <c r="CC435" s="131"/>
      <c r="CD435" s="131"/>
      <c r="CE435" s="131"/>
      <c r="CF435" s="131"/>
      <c r="CG435" s="131"/>
      <c r="CH435" s="131"/>
      <c r="CI435" s="131"/>
      <c r="CJ435" s="131"/>
      <c r="CK435" s="131"/>
      <c r="CL435" s="131"/>
      <c r="CM435" s="131"/>
      <c r="CN435" s="131"/>
      <c r="CO435" s="131"/>
      <c r="CP435" s="131"/>
      <c r="CQ435" s="131"/>
    </row>
    <row r="436" spans="1:95" s="29" customFormat="1" ht="15.75" hidden="1" outlineLevel="1" x14ac:dyDescent="0.25">
      <c r="B436" s="29" t="s">
        <v>296</v>
      </c>
    </row>
    <row r="437" spans="1:95" s="8" customFormat="1" ht="15" hidden="1" customHeight="1" outlineLevel="1" x14ac:dyDescent="0.25">
      <c r="A437" s="89"/>
      <c r="B437" s="133"/>
      <c r="C437" s="133"/>
      <c r="D437" s="133"/>
      <c r="E437" s="133"/>
      <c r="F437" s="133"/>
      <c r="G437" s="133"/>
      <c r="H437" s="133"/>
      <c r="I437" s="133"/>
      <c r="J437" s="133"/>
      <c r="K437" s="133"/>
      <c r="L437" s="133"/>
      <c r="M437" s="133"/>
      <c r="N437" s="133"/>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89"/>
      <c r="CD437" s="89"/>
      <c r="CE437" s="89"/>
      <c r="CF437" s="89"/>
      <c r="CG437" s="89"/>
      <c r="CH437" s="89"/>
      <c r="CI437" s="89"/>
      <c r="CJ437" s="89"/>
      <c r="CK437" s="89"/>
      <c r="CL437" s="89"/>
      <c r="CM437" s="89"/>
      <c r="CN437" s="89"/>
      <c r="CO437" s="89"/>
      <c r="CP437" s="89"/>
      <c r="CQ437" s="89"/>
    </row>
    <row r="438" spans="1:95" s="8" customFormat="1" ht="15" hidden="1" customHeight="1" outlineLevel="1" x14ac:dyDescent="0.25">
      <c r="A438" s="89"/>
      <c r="B438" s="134"/>
      <c r="C438" s="91" t="s">
        <v>15</v>
      </c>
      <c r="D438" s="92" t="s">
        <v>16</v>
      </c>
      <c r="E438" s="135" t="s">
        <v>17</v>
      </c>
      <c r="F438" s="135" t="s">
        <v>18</v>
      </c>
      <c r="G438" s="135" t="s">
        <v>19</v>
      </c>
      <c r="H438" s="135" t="s">
        <v>20</v>
      </c>
      <c r="I438" s="135" t="s">
        <v>21</v>
      </c>
      <c r="J438" s="135" t="s">
        <v>22</v>
      </c>
      <c r="K438" s="135" t="s">
        <v>23</v>
      </c>
      <c r="L438" s="135" t="s">
        <v>24</v>
      </c>
      <c r="M438" s="135" t="s">
        <v>25</v>
      </c>
      <c r="N438" s="135" t="s">
        <v>26</v>
      </c>
      <c r="O438" s="135" t="s">
        <v>27</v>
      </c>
      <c r="P438" s="135" t="s">
        <v>28</v>
      </c>
      <c r="Q438" s="135" t="s">
        <v>29</v>
      </c>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89"/>
      <c r="CD438" s="89"/>
      <c r="CE438" s="89"/>
      <c r="CF438" s="89"/>
      <c r="CG438" s="89"/>
      <c r="CH438" s="89"/>
      <c r="CI438" s="89"/>
      <c r="CJ438" s="89"/>
      <c r="CK438" s="89"/>
      <c r="CL438" s="89"/>
      <c r="CM438" s="89"/>
      <c r="CN438" s="89"/>
      <c r="CO438" s="89"/>
      <c r="CP438" s="89"/>
      <c r="CQ438" s="89"/>
    </row>
    <row r="439" spans="1:95" s="8" customFormat="1" ht="15" hidden="1" customHeight="1" outlineLevel="1" x14ac:dyDescent="0.25">
      <c r="A439" s="89"/>
      <c r="B439" s="91" t="s">
        <v>30</v>
      </c>
      <c r="C439" s="136"/>
      <c r="D439" s="137"/>
      <c r="E439" s="138"/>
      <c r="F439" s="138"/>
      <c r="G439" s="138"/>
      <c r="H439" s="138"/>
      <c r="I439" s="138"/>
      <c r="J439" s="138"/>
      <c r="K439" s="138"/>
      <c r="L439" s="138"/>
      <c r="M439" s="138"/>
      <c r="N439" s="138"/>
      <c r="O439" s="138"/>
      <c r="P439" s="138"/>
      <c r="Q439" s="136"/>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89"/>
      <c r="CD439" s="89"/>
      <c r="CE439" s="89"/>
      <c r="CF439" s="89"/>
      <c r="CG439" s="89"/>
      <c r="CH439" s="89"/>
      <c r="CI439" s="89"/>
      <c r="CJ439" s="89"/>
      <c r="CK439" s="89"/>
      <c r="CL439" s="89"/>
      <c r="CM439" s="89"/>
      <c r="CN439" s="89"/>
      <c r="CO439" s="89"/>
      <c r="CP439" s="89"/>
      <c r="CQ439" s="89"/>
    </row>
    <row r="440" spans="1:95" s="8" customFormat="1" ht="15" hidden="1" customHeight="1" outlineLevel="1" x14ac:dyDescent="0.25">
      <c r="A440" s="89"/>
      <c r="B440" s="92" t="s">
        <v>16</v>
      </c>
      <c r="C440" s="139"/>
      <c r="D440" s="145">
        <f t="shared" ref="D440:Q440" si="78">Opening_without_45_with_xx*Without_45_with_xx_AMI_value</f>
        <v>0</v>
      </c>
      <c r="E440" s="145">
        <f t="shared" si="78"/>
        <v>0</v>
      </c>
      <c r="F440" s="145">
        <f t="shared" si="78"/>
        <v>0</v>
      </c>
      <c r="G440" s="145">
        <f t="shared" si="78"/>
        <v>0</v>
      </c>
      <c r="H440" s="145">
        <f t="shared" si="78"/>
        <v>0</v>
      </c>
      <c r="I440" s="145">
        <f t="shared" si="78"/>
        <v>-6.0785519420721679</v>
      </c>
      <c r="J440" s="145">
        <f t="shared" si="78"/>
        <v>0</v>
      </c>
      <c r="K440" s="145">
        <f t="shared" si="78"/>
        <v>0</v>
      </c>
      <c r="L440" s="145">
        <f t="shared" si="78"/>
        <v>0</v>
      </c>
      <c r="M440" s="145">
        <f t="shared" si="78"/>
        <v>0</v>
      </c>
      <c r="N440" s="145">
        <f t="shared" si="78"/>
        <v>0</v>
      </c>
      <c r="O440" s="145">
        <f t="shared" si="78"/>
        <v>0</v>
      </c>
      <c r="P440" s="145">
        <f t="shared" si="78"/>
        <v>0</v>
      </c>
      <c r="Q440" s="145">
        <f t="shared" si="78"/>
        <v>0</v>
      </c>
      <c r="R440" s="26" t="s">
        <v>297</v>
      </c>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row>
    <row r="441" spans="1:95" s="8" customFormat="1" ht="15" hidden="1" customHeight="1" outlineLevel="1" x14ac:dyDescent="0.25">
      <c r="A441" s="89"/>
      <c r="B441" s="135" t="s">
        <v>17</v>
      </c>
      <c r="C441" s="141"/>
      <c r="D441" s="145">
        <f t="shared" ref="D441:Q441" si="79">Opening_without_45_48_with_xx*Without_45_48_with_xx_AMI_value</f>
        <v>0</v>
      </c>
      <c r="E441" s="145">
        <f t="shared" si="79"/>
        <v>0</v>
      </c>
      <c r="F441" s="145">
        <f t="shared" si="79"/>
        <v>0</v>
      </c>
      <c r="G441" s="145">
        <f t="shared" si="79"/>
        <v>0</v>
      </c>
      <c r="H441" s="145">
        <f t="shared" si="79"/>
        <v>0</v>
      </c>
      <c r="I441" s="145">
        <f t="shared" si="79"/>
        <v>-200.59221408838155</v>
      </c>
      <c r="J441" s="145">
        <f t="shared" si="79"/>
        <v>-92.520764293729371</v>
      </c>
      <c r="K441" s="145">
        <f t="shared" si="79"/>
        <v>0</v>
      </c>
      <c r="L441" s="145">
        <f t="shared" si="79"/>
        <v>0</v>
      </c>
      <c r="M441" s="145">
        <f t="shared" si="79"/>
        <v>0</v>
      </c>
      <c r="N441" s="145">
        <f t="shared" si="79"/>
        <v>0</v>
      </c>
      <c r="O441" s="145">
        <f t="shared" si="79"/>
        <v>0</v>
      </c>
      <c r="P441" s="145">
        <f t="shared" si="79"/>
        <v>0</v>
      </c>
      <c r="Q441" s="145">
        <f t="shared" si="79"/>
        <v>0</v>
      </c>
      <c r="R441" s="26" t="s">
        <v>298</v>
      </c>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c r="CP441" s="89"/>
      <c r="CQ441" s="89"/>
    </row>
    <row r="442" spans="1:95" s="8" customFormat="1" ht="15" hidden="1" customHeight="1" outlineLevel="1" x14ac:dyDescent="0.25">
      <c r="A442" s="89"/>
      <c r="B442" s="135" t="s">
        <v>18</v>
      </c>
      <c r="C442" s="141"/>
      <c r="D442" s="145">
        <f t="shared" ref="D442:Q442" si="80">Opening_without_48_51_with_xx*Without_48_51_with_xx_AMI_value</f>
        <v>0</v>
      </c>
      <c r="E442" s="145">
        <f t="shared" si="80"/>
        <v>0</v>
      </c>
      <c r="F442" s="145">
        <f t="shared" si="80"/>
        <v>0</v>
      </c>
      <c r="G442" s="145">
        <f t="shared" si="80"/>
        <v>0</v>
      </c>
      <c r="H442" s="145">
        <f t="shared" si="80"/>
        <v>0</v>
      </c>
      <c r="I442" s="145">
        <f t="shared" si="80"/>
        <v>-54.70696747864951</v>
      </c>
      <c r="J442" s="145">
        <f t="shared" si="80"/>
        <v>-92.520764293729371</v>
      </c>
      <c r="K442" s="145">
        <f t="shared" si="80"/>
        <v>-51.576402179521921</v>
      </c>
      <c r="L442" s="145">
        <f t="shared" si="80"/>
        <v>0</v>
      </c>
      <c r="M442" s="145">
        <f t="shared" si="80"/>
        <v>-146.47419773464145</v>
      </c>
      <c r="N442" s="145">
        <f t="shared" si="80"/>
        <v>0</v>
      </c>
      <c r="O442" s="145">
        <f t="shared" si="80"/>
        <v>0</v>
      </c>
      <c r="P442" s="145">
        <f t="shared" si="80"/>
        <v>0</v>
      </c>
      <c r="Q442" s="145">
        <f t="shared" si="80"/>
        <v>0</v>
      </c>
      <c r="R442" s="26" t="s">
        <v>299</v>
      </c>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c r="CP442" s="89"/>
      <c r="CQ442" s="89"/>
    </row>
    <row r="443" spans="1:95" s="8" customFormat="1" ht="15" hidden="1" customHeight="1" outlineLevel="1" x14ac:dyDescent="0.25">
      <c r="A443" s="89"/>
      <c r="B443" s="135" t="s">
        <v>19</v>
      </c>
      <c r="C443" s="141"/>
      <c r="D443" s="145">
        <f>Opening_without_51_54_with_xx*Without_51_54_with_xx_AMI_value</f>
        <v>0</v>
      </c>
      <c r="E443" s="145">
        <f t="shared" ref="E443:Q443" si="81">Opening_without_51_54_with_xx*Without_51_54_with_xx_AMI_value</f>
        <v>0</v>
      </c>
      <c r="F443" s="145">
        <f t="shared" si="81"/>
        <v>0</v>
      </c>
      <c r="G443" s="145">
        <f t="shared" si="81"/>
        <v>0</v>
      </c>
      <c r="H443" s="145">
        <f t="shared" si="81"/>
        <v>0</v>
      </c>
      <c r="I443" s="145">
        <f t="shared" si="81"/>
        <v>-474.12705148162911</v>
      </c>
      <c r="J443" s="145">
        <f t="shared" si="81"/>
        <v>-601.38496790924091</v>
      </c>
      <c r="K443" s="145">
        <f t="shared" si="81"/>
        <v>-773.64603269282884</v>
      </c>
      <c r="L443" s="145">
        <f t="shared" si="81"/>
        <v>-831.35339653525739</v>
      </c>
      <c r="M443" s="145">
        <f t="shared" si="81"/>
        <v>-439.42259320392435</v>
      </c>
      <c r="N443" s="145">
        <f t="shared" si="81"/>
        <v>-429.67322178609879</v>
      </c>
      <c r="O443" s="145">
        <f t="shared" si="81"/>
        <v>-1193.6610137797597</v>
      </c>
      <c r="P443" s="145">
        <f t="shared" si="81"/>
        <v>0</v>
      </c>
      <c r="Q443" s="145">
        <f t="shared" si="81"/>
        <v>0</v>
      </c>
      <c r="R443" s="26" t="s">
        <v>300</v>
      </c>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row>
    <row r="444" spans="1:95" s="8" customFormat="1" ht="15" hidden="1" customHeight="1" outlineLevel="1" x14ac:dyDescent="0.25">
      <c r="A444" s="89"/>
      <c r="B444" s="135" t="s">
        <v>20</v>
      </c>
      <c r="C444" s="141"/>
      <c r="D444" s="145">
        <f t="shared" ref="D444:Q444" si="82">Opening_without_54_57_with_xx*Without_54_57_with_xx_AMI_value</f>
        <v>0</v>
      </c>
      <c r="E444" s="145">
        <f t="shared" si="82"/>
        <v>0</v>
      </c>
      <c r="F444" s="145">
        <f t="shared" si="82"/>
        <v>0</v>
      </c>
      <c r="G444" s="145">
        <f t="shared" si="82"/>
        <v>0</v>
      </c>
      <c r="H444" s="145">
        <f t="shared" si="82"/>
        <v>0</v>
      </c>
      <c r="I444" s="145">
        <f t="shared" si="82"/>
        <v>-1708.0730957222793</v>
      </c>
      <c r="J444" s="145">
        <f t="shared" si="82"/>
        <v>-323.8226750280528</v>
      </c>
      <c r="K444" s="145">
        <f t="shared" si="82"/>
        <v>-51.576402179521921</v>
      </c>
      <c r="L444" s="145">
        <f t="shared" si="82"/>
        <v>-369.49039846011442</v>
      </c>
      <c r="M444" s="145">
        <f t="shared" si="82"/>
        <v>0</v>
      </c>
      <c r="N444" s="145">
        <f t="shared" si="82"/>
        <v>0</v>
      </c>
      <c r="O444" s="145">
        <f t="shared" si="82"/>
        <v>0</v>
      </c>
      <c r="P444" s="145">
        <f t="shared" si="82"/>
        <v>0</v>
      </c>
      <c r="Q444" s="145">
        <f t="shared" si="82"/>
        <v>0</v>
      </c>
      <c r="R444" s="26" t="s">
        <v>301</v>
      </c>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row>
    <row r="445" spans="1:95" s="8" customFormat="1" ht="15" hidden="1" customHeight="1" outlineLevel="1" x14ac:dyDescent="0.25">
      <c r="A445" s="89"/>
      <c r="B445" s="135" t="s">
        <v>21</v>
      </c>
      <c r="C445" s="141"/>
      <c r="D445" s="145">
        <f t="shared" ref="D445:Q445" si="83">Opening_without_57_60_with_xx*Without_57_60_with_xx_AMI_value</f>
        <v>0</v>
      </c>
      <c r="E445" s="145">
        <f t="shared" si="83"/>
        <v>0</v>
      </c>
      <c r="F445" s="145">
        <f t="shared" si="83"/>
        <v>0</v>
      </c>
      <c r="G445" s="145">
        <f t="shared" si="83"/>
        <v>0</v>
      </c>
      <c r="H445" s="145">
        <f t="shared" si="83"/>
        <v>103.33538301522685</v>
      </c>
      <c r="I445" s="145">
        <f t="shared" si="83"/>
        <v>0</v>
      </c>
      <c r="J445" s="145">
        <f t="shared" si="83"/>
        <v>-2694.1589827549078</v>
      </c>
      <c r="K445" s="145">
        <f t="shared" si="83"/>
        <v>-500.47635261194728</v>
      </c>
      <c r="L445" s="145">
        <f t="shared" si="83"/>
        <v>-86.294047672956438</v>
      </c>
      <c r="M445" s="145">
        <f t="shared" si="83"/>
        <v>-280.79129158513854</v>
      </c>
      <c r="N445" s="145">
        <f t="shared" si="83"/>
        <v>0</v>
      </c>
      <c r="O445" s="145">
        <f t="shared" si="83"/>
        <v>0</v>
      </c>
      <c r="P445" s="145">
        <f t="shared" si="83"/>
        <v>0</v>
      </c>
      <c r="Q445" s="145">
        <f t="shared" si="83"/>
        <v>0</v>
      </c>
      <c r="R445" s="26" t="s">
        <v>302</v>
      </c>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row>
    <row r="446" spans="1:95" s="8" customFormat="1" ht="15" hidden="1" customHeight="1" outlineLevel="1" x14ac:dyDescent="0.25">
      <c r="A446" s="89"/>
      <c r="B446" s="135" t="s">
        <v>22</v>
      </c>
      <c r="C446" s="141"/>
      <c r="D446" s="145">
        <f t="shared" ref="D446:Q446" si="84">Opening_without_60_63_with_xx*Without_60_63_with_xx_AMI_value</f>
        <v>0</v>
      </c>
      <c r="E446" s="145">
        <f t="shared" si="84"/>
        <v>0</v>
      </c>
      <c r="F446" s="145">
        <f t="shared" si="84"/>
        <v>0</v>
      </c>
      <c r="G446" s="145">
        <f t="shared" si="84"/>
        <v>0</v>
      </c>
      <c r="H446" s="145">
        <f t="shared" si="84"/>
        <v>0</v>
      </c>
      <c r="I446" s="145">
        <f t="shared" si="84"/>
        <v>716.16884351712736</v>
      </c>
      <c r="J446" s="145">
        <f t="shared" si="84"/>
        <v>0</v>
      </c>
      <c r="K446" s="145">
        <f t="shared" si="84"/>
        <v>-4807.4096769291382</v>
      </c>
      <c r="L446" s="145">
        <f t="shared" si="84"/>
        <v>-2631.2115245806581</v>
      </c>
      <c r="M446" s="145">
        <f t="shared" si="84"/>
        <v>-123.34400666120911</v>
      </c>
      <c r="N446" s="145">
        <f t="shared" si="84"/>
        <v>0</v>
      </c>
      <c r="O446" s="145">
        <f t="shared" si="84"/>
        <v>0</v>
      </c>
      <c r="P446" s="145">
        <f t="shared" si="84"/>
        <v>0</v>
      </c>
      <c r="Q446" s="145">
        <f t="shared" si="84"/>
        <v>0</v>
      </c>
      <c r="R446" s="26" t="s">
        <v>303</v>
      </c>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row>
    <row r="447" spans="1:95" s="8" customFormat="1" ht="15" hidden="1" customHeight="1" outlineLevel="1" x14ac:dyDescent="0.25">
      <c r="A447" s="89"/>
      <c r="B447" s="135" t="s">
        <v>23</v>
      </c>
      <c r="C447" s="141"/>
      <c r="D447" s="145">
        <f t="shared" ref="D447:Q447" si="85">Opening_without_63_66_with_xx*Without_63_66_with_xx_AMI_value</f>
        <v>0</v>
      </c>
      <c r="E447" s="145">
        <f t="shared" si="85"/>
        <v>0</v>
      </c>
      <c r="F447" s="145">
        <f t="shared" si="85"/>
        <v>0</v>
      </c>
      <c r="G447" s="145">
        <f t="shared" si="85"/>
        <v>0</v>
      </c>
      <c r="H447" s="145">
        <f t="shared" si="85"/>
        <v>0</v>
      </c>
      <c r="I447" s="145">
        <f t="shared" si="85"/>
        <v>2320.3903621099375</v>
      </c>
      <c r="J447" s="145">
        <f t="shared" si="85"/>
        <v>284.46211106089572</v>
      </c>
      <c r="K447" s="145">
        <f t="shared" si="85"/>
        <v>0</v>
      </c>
      <c r="L447" s="145">
        <f t="shared" si="85"/>
        <v>-5507.4866537934022</v>
      </c>
      <c r="M447" s="145">
        <f t="shared" si="85"/>
        <v>-379.59118222047812</v>
      </c>
      <c r="N447" s="145">
        <f t="shared" si="85"/>
        <v>0</v>
      </c>
      <c r="O447" s="145">
        <f t="shared" si="85"/>
        <v>0</v>
      </c>
      <c r="P447" s="145">
        <f t="shared" si="85"/>
        <v>0</v>
      </c>
      <c r="Q447" s="145">
        <f t="shared" si="85"/>
        <v>0</v>
      </c>
      <c r="R447" s="26" t="s">
        <v>304</v>
      </c>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row>
    <row r="448" spans="1:95" s="8" customFormat="1" ht="15" hidden="1" customHeight="1" outlineLevel="1" x14ac:dyDescent="0.25">
      <c r="A448" s="89"/>
      <c r="B448" s="135" t="s">
        <v>24</v>
      </c>
      <c r="C448" s="141"/>
      <c r="D448" s="145">
        <f t="shared" ref="D448:Q448" si="86">Opening_without_66_69_with_xx*Without_66_69_with_xx_AMI_value</f>
        <v>0</v>
      </c>
      <c r="E448" s="145">
        <f t="shared" si="86"/>
        <v>0</v>
      </c>
      <c r="F448" s="145">
        <f t="shared" si="86"/>
        <v>0</v>
      </c>
      <c r="G448" s="145">
        <f t="shared" si="86"/>
        <v>0</v>
      </c>
      <c r="H448" s="145">
        <f t="shared" si="86"/>
        <v>0</v>
      </c>
      <c r="I448" s="145">
        <f t="shared" si="86"/>
        <v>0</v>
      </c>
      <c r="J448" s="145">
        <f t="shared" si="86"/>
        <v>0</v>
      </c>
      <c r="K448" s="145">
        <f t="shared" si="86"/>
        <v>1795.0326871622942</v>
      </c>
      <c r="L448" s="145">
        <f t="shared" si="86"/>
        <v>0</v>
      </c>
      <c r="M448" s="145">
        <f t="shared" si="86"/>
        <v>-1460.7431492295466</v>
      </c>
      <c r="N448" s="145">
        <f t="shared" si="86"/>
        <v>-244.92802255604153</v>
      </c>
      <c r="O448" s="145">
        <f t="shared" si="86"/>
        <v>0</v>
      </c>
      <c r="P448" s="145">
        <f t="shared" si="86"/>
        <v>0</v>
      </c>
      <c r="Q448" s="145">
        <f t="shared" si="86"/>
        <v>0</v>
      </c>
      <c r="R448" s="26" t="s">
        <v>305</v>
      </c>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89"/>
      <c r="CD448" s="89"/>
      <c r="CE448" s="89"/>
      <c r="CF448" s="89"/>
      <c r="CG448" s="89"/>
      <c r="CH448" s="89"/>
      <c r="CI448" s="89"/>
      <c r="CJ448" s="89"/>
      <c r="CK448" s="89"/>
      <c r="CL448" s="89"/>
      <c r="CM448" s="89"/>
      <c r="CN448" s="89"/>
      <c r="CO448" s="89"/>
      <c r="CP448" s="89"/>
      <c r="CQ448" s="89"/>
    </row>
    <row r="449" spans="1:95" s="8" customFormat="1" ht="15" hidden="1" customHeight="1" outlineLevel="1" x14ac:dyDescent="0.25">
      <c r="A449" s="89"/>
      <c r="B449" s="135" t="s">
        <v>25</v>
      </c>
      <c r="C449" s="141"/>
      <c r="D449" s="145">
        <f t="shared" ref="D449:Q449" si="87">Opening_without_69_72_with_xx*Without_69_72_with_xx_AMI_value</f>
        <v>0</v>
      </c>
      <c r="E449" s="145">
        <f t="shared" si="87"/>
        <v>0</v>
      </c>
      <c r="F449" s="145">
        <f t="shared" si="87"/>
        <v>0</v>
      </c>
      <c r="G449" s="145">
        <f t="shared" si="87"/>
        <v>0</v>
      </c>
      <c r="H449" s="145">
        <f t="shared" si="87"/>
        <v>0</v>
      </c>
      <c r="I449" s="145">
        <f t="shared" si="87"/>
        <v>0</v>
      </c>
      <c r="J449" s="145">
        <f t="shared" si="87"/>
        <v>0</v>
      </c>
      <c r="K449" s="145">
        <f t="shared" si="87"/>
        <v>0</v>
      </c>
      <c r="L449" s="145">
        <f t="shared" si="87"/>
        <v>1568.9463454687723</v>
      </c>
      <c r="M449" s="145">
        <f t="shared" si="87"/>
        <v>0</v>
      </c>
      <c r="N449" s="145">
        <f t="shared" si="87"/>
        <v>-2324.3220473858696</v>
      </c>
      <c r="O449" s="145">
        <f t="shared" si="87"/>
        <v>0</v>
      </c>
      <c r="P449" s="145">
        <f t="shared" si="87"/>
        <v>0</v>
      </c>
      <c r="Q449" s="145">
        <f t="shared" si="87"/>
        <v>0</v>
      </c>
      <c r="R449" s="26" t="s">
        <v>306</v>
      </c>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row>
    <row r="450" spans="1:95" s="8" customFormat="1" ht="15" hidden="1" customHeight="1" outlineLevel="1" x14ac:dyDescent="0.25">
      <c r="A450" s="89"/>
      <c r="B450" s="135" t="s">
        <v>26</v>
      </c>
      <c r="C450" s="141"/>
      <c r="D450" s="145">
        <f t="shared" ref="D450:Q450" si="88">Opening_without_72_75_with_xx*Without_72_75_with_xx_AMI_value</f>
        <v>0</v>
      </c>
      <c r="E450" s="145">
        <f t="shared" si="88"/>
        <v>0</v>
      </c>
      <c r="F450" s="145">
        <f t="shared" si="88"/>
        <v>0</v>
      </c>
      <c r="G450" s="145">
        <f t="shared" si="88"/>
        <v>0</v>
      </c>
      <c r="H450" s="145">
        <f t="shared" si="88"/>
        <v>0</v>
      </c>
      <c r="I450" s="145">
        <f t="shared" si="88"/>
        <v>0</v>
      </c>
      <c r="J450" s="145">
        <f t="shared" si="88"/>
        <v>0</v>
      </c>
      <c r="K450" s="145">
        <f t="shared" si="88"/>
        <v>0</v>
      </c>
      <c r="L450" s="145">
        <f t="shared" si="88"/>
        <v>0</v>
      </c>
      <c r="M450" s="145">
        <f t="shared" si="88"/>
        <v>2597.7717000195016</v>
      </c>
      <c r="N450" s="145">
        <f t="shared" si="88"/>
        <v>0</v>
      </c>
      <c r="O450" s="145">
        <f t="shared" si="88"/>
        <v>-585.05049786323366</v>
      </c>
      <c r="P450" s="145">
        <f t="shared" si="88"/>
        <v>-182.38627205322649</v>
      </c>
      <c r="Q450" s="145">
        <f t="shared" si="88"/>
        <v>0</v>
      </c>
      <c r="R450" s="26" t="s">
        <v>307</v>
      </c>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89"/>
      <c r="CD450" s="89"/>
      <c r="CE450" s="89"/>
      <c r="CF450" s="89"/>
      <c r="CG450" s="89"/>
      <c r="CH450" s="89"/>
      <c r="CI450" s="89"/>
      <c r="CJ450" s="89"/>
      <c r="CK450" s="89"/>
      <c r="CL450" s="89"/>
      <c r="CM450" s="89"/>
      <c r="CN450" s="89"/>
      <c r="CO450" s="89"/>
      <c r="CP450" s="89"/>
      <c r="CQ450" s="89"/>
    </row>
    <row r="451" spans="1:95" s="8" customFormat="1" ht="15" hidden="1" customHeight="1" outlineLevel="1" x14ac:dyDescent="0.25">
      <c r="A451" s="89"/>
      <c r="B451" s="135" t="s">
        <v>27</v>
      </c>
      <c r="C451" s="141"/>
      <c r="D451" s="145">
        <f t="shared" ref="D451:Q451" si="89">Opening_without_75_78_with_xx*Without_75_78_with_xx_AMI_value</f>
        <v>0</v>
      </c>
      <c r="E451" s="145">
        <f t="shared" si="89"/>
        <v>0</v>
      </c>
      <c r="F451" s="145">
        <f t="shared" si="89"/>
        <v>0</v>
      </c>
      <c r="G451" s="145">
        <f t="shared" si="89"/>
        <v>0</v>
      </c>
      <c r="H451" s="145">
        <f t="shared" si="89"/>
        <v>0</v>
      </c>
      <c r="I451" s="145">
        <f t="shared" si="89"/>
        <v>0</v>
      </c>
      <c r="J451" s="145">
        <f t="shared" si="89"/>
        <v>0</v>
      </c>
      <c r="K451" s="145">
        <f t="shared" si="89"/>
        <v>0</v>
      </c>
      <c r="L451" s="145">
        <f t="shared" si="89"/>
        <v>0</v>
      </c>
      <c r="M451" s="145">
        <f t="shared" si="89"/>
        <v>0</v>
      </c>
      <c r="N451" s="145">
        <f t="shared" si="89"/>
        <v>334.3145702075621</v>
      </c>
      <c r="O451" s="145">
        <f t="shared" si="89"/>
        <v>0</v>
      </c>
      <c r="P451" s="145">
        <f t="shared" si="89"/>
        <v>0</v>
      </c>
      <c r="Q451" s="145">
        <f t="shared" si="89"/>
        <v>0</v>
      </c>
      <c r="R451" s="26" t="s">
        <v>308</v>
      </c>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89"/>
      <c r="CD451" s="89"/>
      <c r="CE451" s="89"/>
      <c r="CF451" s="89"/>
      <c r="CG451" s="89"/>
      <c r="CH451" s="89"/>
      <c r="CI451" s="89"/>
      <c r="CJ451" s="89"/>
      <c r="CK451" s="89"/>
      <c r="CL451" s="89"/>
      <c r="CM451" s="89"/>
      <c r="CN451" s="89"/>
      <c r="CO451" s="89"/>
      <c r="CP451" s="89"/>
      <c r="CQ451" s="89"/>
    </row>
    <row r="452" spans="1:95" s="8" customFormat="1" ht="15" hidden="1" customHeight="1" outlineLevel="1" x14ac:dyDescent="0.25">
      <c r="A452" s="89"/>
      <c r="B452" s="135" t="s">
        <v>28</v>
      </c>
      <c r="C452" s="141"/>
      <c r="D452" s="145">
        <f t="shared" ref="D452:Q452" si="90">Opening_without_78_81_with_xx*Without_78_81_with_xx_AMI_value</f>
        <v>0</v>
      </c>
      <c r="E452" s="145">
        <f t="shared" si="90"/>
        <v>0</v>
      </c>
      <c r="F452" s="145">
        <f t="shared" si="90"/>
        <v>0</v>
      </c>
      <c r="G452" s="145">
        <f t="shared" si="90"/>
        <v>0</v>
      </c>
      <c r="H452" s="145">
        <f t="shared" si="90"/>
        <v>0</v>
      </c>
      <c r="I452" s="145">
        <f t="shared" si="90"/>
        <v>0</v>
      </c>
      <c r="J452" s="145">
        <f t="shared" si="90"/>
        <v>0</v>
      </c>
      <c r="K452" s="145">
        <f t="shared" si="90"/>
        <v>0</v>
      </c>
      <c r="L452" s="145">
        <f t="shared" si="90"/>
        <v>0</v>
      </c>
      <c r="M452" s="145">
        <f t="shared" si="90"/>
        <v>0</v>
      </c>
      <c r="N452" s="145">
        <f t="shared" si="90"/>
        <v>0</v>
      </c>
      <c r="O452" s="145">
        <f t="shared" si="90"/>
        <v>0</v>
      </c>
      <c r="P452" s="145">
        <f t="shared" si="90"/>
        <v>0</v>
      </c>
      <c r="Q452" s="145">
        <f t="shared" si="90"/>
        <v>0</v>
      </c>
      <c r="R452" s="26" t="s">
        <v>309</v>
      </c>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89"/>
      <c r="CD452" s="89"/>
      <c r="CE452" s="89"/>
      <c r="CF452" s="89"/>
      <c r="CG452" s="89"/>
      <c r="CH452" s="89"/>
      <c r="CI452" s="89"/>
      <c r="CJ452" s="89"/>
      <c r="CK452" s="89"/>
      <c r="CL452" s="89"/>
      <c r="CM452" s="89"/>
      <c r="CN452" s="89"/>
      <c r="CO452" s="89"/>
      <c r="CP452" s="89"/>
      <c r="CQ452" s="89"/>
    </row>
    <row r="453" spans="1:95" s="8" customFormat="1" ht="15" hidden="1" customHeight="1" outlineLevel="1" x14ac:dyDescent="0.25">
      <c r="A453" s="89"/>
      <c r="B453" s="135" t="s">
        <v>29</v>
      </c>
      <c r="C453" s="142"/>
      <c r="D453" s="145">
        <f t="shared" ref="D453:Q453" si="91">Opening_without_81_with_xx*Without_81_with_xx_AMI_value</f>
        <v>0</v>
      </c>
      <c r="E453" s="145">
        <f t="shared" si="91"/>
        <v>0</v>
      </c>
      <c r="F453" s="145">
        <f t="shared" si="91"/>
        <v>0</v>
      </c>
      <c r="G453" s="145">
        <f t="shared" si="91"/>
        <v>0</v>
      </c>
      <c r="H453" s="145">
        <f t="shared" si="91"/>
        <v>0</v>
      </c>
      <c r="I453" s="145">
        <f t="shared" si="91"/>
        <v>0</v>
      </c>
      <c r="J453" s="145">
        <f t="shared" si="91"/>
        <v>0</v>
      </c>
      <c r="K453" s="145">
        <f t="shared" si="91"/>
        <v>0</v>
      </c>
      <c r="L453" s="145">
        <f t="shared" si="91"/>
        <v>0</v>
      </c>
      <c r="M453" s="145">
        <f t="shared" si="91"/>
        <v>0</v>
      </c>
      <c r="N453" s="145">
        <f t="shared" si="91"/>
        <v>0</v>
      </c>
      <c r="O453" s="145">
        <f t="shared" si="91"/>
        <v>0</v>
      </c>
      <c r="P453" s="145">
        <f t="shared" si="91"/>
        <v>0</v>
      </c>
      <c r="Q453" s="145">
        <f t="shared" si="91"/>
        <v>0</v>
      </c>
      <c r="R453" s="26" t="s">
        <v>310</v>
      </c>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89"/>
      <c r="CD453" s="89"/>
      <c r="CE453" s="89"/>
      <c r="CF453" s="89"/>
      <c r="CG453" s="89"/>
      <c r="CH453" s="89"/>
      <c r="CI453" s="89"/>
      <c r="CJ453" s="89"/>
      <c r="CK453" s="89"/>
      <c r="CL453" s="89"/>
      <c r="CM453" s="89"/>
      <c r="CN453" s="89"/>
      <c r="CO453" s="89"/>
      <c r="CP453" s="89"/>
      <c r="CQ453" s="89"/>
    </row>
    <row r="454" spans="1:95" s="8" customFormat="1" ht="15" hidden="1" customHeight="1" outlineLevel="1" x14ac:dyDescent="0.25">
      <c r="A454" s="89"/>
      <c r="B454" s="133"/>
      <c r="C454" s="133"/>
      <c r="D454" s="133"/>
      <c r="E454" s="133"/>
      <c r="F454" s="133"/>
      <c r="G454" s="133"/>
      <c r="H454" s="133"/>
      <c r="I454" s="133"/>
      <c r="J454" s="133"/>
      <c r="K454" s="133"/>
      <c r="L454" s="133"/>
      <c r="M454" s="133"/>
      <c r="N454" s="133"/>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row>
    <row r="455" spans="1:95" s="8" customFormat="1" ht="15" hidden="1" customHeight="1" outlineLevel="1" x14ac:dyDescent="0.25">
      <c r="A455" s="89"/>
      <c r="B455" s="143" t="s">
        <v>311</v>
      </c>
      <c r="C455" s="144">
        <f>SUM(Opening_without_45_with_xx_AMI_cost,Opening_without_45_48_with_xx_AMI_cost,Opening_without_48_51_with_xx_AMI_cost,Opening_without_51_54_with_xx_AMI_cost,Opening_without_54_57_with_xx_AMI_cost,Opening_without_57_60_with_xx_AMI_cost,Opening_without_60_63_with_xx_AMI_cost,Opening_without_63_66_with_xx_AMI_cost,Opening_without_66_69_with_xx_AMI_cost,Opening_without_69_72_with_xx_AMI_cost,Opening_without_72_75_with_xx_AMI_cost,Opening_without_75_78_with_xx_AMI_cost,Opening_without_78_81_with_xx_AMI_cost,Opening_without_81_with_xx_AMI_cost)</f>
        <v>-19928.472416125882</v>
      </c>
      <c r="D455" s="30" t="s">
        <v>312</v>
      </c>
      <c r="E455" s="133"/>
      <c r="F455" s="133"/>
      <c r="G455" s="133"/>
      <c r="H455" s="133"/>
      <c r="I455" s="133"/>
      <c r="J455" s="133"/>
      <c r="K455" s="133"/>
      <c r="L455" s="133"/>
      <c r="M455" s="133"/>
      <c r="N455" s="133"/>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row>
    <row r="456" spans="1:95" s="8" customFormat="1" ht="15" hidden="1" customHeight="1" outlineLevel="1" x14ac:dyDescent="0.25">
      <c r="A456" s="89"/>
      <c r="B456" s="133"/>
      <c r="C456" s="133"/>
      <c r="D456" s="133"/>
      <c r="E456" s="133"/>
      <c r="F456" s="133"/>
      <c r="G456" s="133"/>
      <c r="H456" s="133"/>
      <c r="I456" s="133"/>
      <c r="J456" s="133"/>
      <c r="K456" s="133"/>
      <c r="L456" s="133"/>
      <c r="M456" s="133"/>
      <c r="N456" s="133"/>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89"/>
      <c r="CD456" s="89"/>
      <c r="CE456" s="89"/>
      <c r="CF456" s="89"/>
      <c r="CG456" s="89"/>
      <c r="CH456" s="89"/>
      <c r="CI456" s="89"/>
      <c r="CJ456" s="89"/>
      <c r="CK456" s="89"/>
      <c r="CL456" s="89"/>
      <c r="CM456" s="89"/>
      <c r="CN456" s="89"/>
      <c r="CO456" s="89"/>
      <c r="CP456" s="89"/>
      <c r="CQ456" s="89"/>
    </row>
    <row r="457" spans="1:95" s="29" customFormat="1" ht="15.75" hidden="1" outlineLevel="1" x14ac:dyDescent="0.25">
      <c r="B457" s="29" t="s">
        <v>313</v>
      </c>
    </row>
    <row r="458" spans="1:95" s="8" customFormat="1" ht="15" hidden="1" customHeight="1" outlineLevel="1" x14ac:dyDescent="0.25">
      <c r="A458" s="89"/>
      <c r="B458" s="133"/>
      <c r="C458" s="133"/>
      <c r="D458" s="133"/>
      <c r="E458" s="133"/>
      <c r="F458" s="133"/>
      <c r="G458" s="133"/>
      <c r="H458" s="133"/>
      <c r="I458" s="133"/>
      <c r="J458" s="133"/>
      <c r="K458" s="133"/>
      <c r="L458" s="133"/>
      <c r="M458" s="133"/>
      <c r="N458" s="133"/>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89"/>
      <c r="CD458" s="89"/>
      <c r="CE458" s="89"/>
      <c r="CF458" s="89"/>
      <c r="CG458" s="89"/>
      <c r="CH458" s="89"/>
      <c r="CI458" s="89"/>
      <c r="CJ458" s="89"/>
      <c r="CK458" s="89"/>
      <c r="CL458" s="89"/>
      <c r="CM458" s="89"/>
      <c r="CN458" s="89"/>
      <c r="CO458" s="89"/>
      <c r="CP458" s="89"/>
      <c r="CQ458" s="89"/>
    </row>
    <row r="459" spans="1:95" s="8" customFormat="1" ht="15" hidden="1" customHeight="1" outlineLevel="1" x14ac:dyDescent="0.25">
      <c r="A459" s="89"/>
      <c r="B459" s="134"/>
      <c r="C459" s="91" t="s">
        <v>15</v>
      </c>
      <c r="D459" s="92" t="s">
        <v>16</v>
      </c>
      <c r="E459" s="135" t="s">
        <v>17</v>
      </c>
      <c r="F459" s="135" t="s">
        <v>18</v>
      </c>
      <c r="G459" s="135" t="s">
        <v>19</v>
      </c>
      <c r="H459" s="135" t="s">
        <v>20</v>
      </c>
      <c r="I459" s="135" t="s">
        <v>21</v>
      </c>
      <c r="J459" s="135" t="s">
        <v>22</v>
      </c>
      <c r="K459" s="135" t="s">
        <v>23</v>
      </c>
      <c r="L459" s="135" t="s">
        <v>24</v>
      </c>
      <c r="M459" s="135" t="s">
        <v>25</v>
      </c>
      <c r="N459" s="135" t="s">
        <v>26</v>
      </c>
      <c r="O459" s="135" t="s">
        <v>27</v>
      </c>
      <c r="P459" s="135" t="s">
        <v>28</v>
      </c>
      <c r="Q459" s="135" t="s">
        <v>29</v>
      </c>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89"/>
      <c r="CD459" s="89"/>
      <c r="CE459" s="89"/>
      <c r="CF459" s="89"/>
      <c r="CG459" s="89"/>
      <c r="CH459" s="89"/>
      <c r="CI459" s="89"/>
      <c r="CJ459" s="89"/>
      <c r="CK459" s="89"/>
      <c r="CL459" s="89"/>
      <c r="CM459" s="89"/>
      <c r="CN459" s="89"/>
      <c r="CO459" s="89"/>
      <c r="CP459" s="89"/>
      <c r="CQ459" s="89"/>
    </row>
    <row r="460" spans="1:95" s="8" customFormat="1" ht="15" hidden="1" customHeight="1" outlineLevel="1" x14ac:dyDescent="0.25">
      <c r="A460" s="89"/>
      <c r="B460" s="91" t="s">
        <v>30</v>
      </c>
      <c r="C460" s="136"/>
      <c r="D460" s="137"/>
      <c r="E460" s="138"/>
      <c r="F460" s="138"/>
      <c r="G460" s="138"/>
      <c r="H460" s="138"/>
      <c r="I460" s="138"/>
      <c r="J460" s="138"/>
      <c r="K460" s="138"/>
      <c r="L460" s="138"/>
      <c r="M460" s="138"/>
      <c r="N460" s="138"/>
      <c r="O460" s="138"/>
      <c r="P460" s="138"/>
      <c r="Q460" s="136"/>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89"/>
      <c r="CD460" s="89"/>
      <c r="CE460" s="89"/>
      <c r="CF460" s="89"/>
      <c r="CG460" s="89"/>
      <c r="CH460" s="89"/>
      <c r="CI460" s="89"/>
      <c r="CJ460" s="89"/>
      <c r="CK460" s="89"/>
      <c r="CL460" s="89"/>
      <c r="CM460" s="89"/>
      <c r="CN460" s="89"/>
      <c r="CO460" s="89"/>
      <c r="CP460" s="89"/>
      <c r="CQ460" s="89"/>
    </row>
    <row r="461" spans="1:95" s="8" customFormat="1" ht="15" hidden="1" customHeight="1" outlineLevel="1" x14ac:dyDescent="0.25">
      <c r="A461" s="89"/>
      <c r="B461" s="92" t="s">
        <v>16</v>
      </c>
      <c r="C461" s="139"/>
      <c r="D461" s="145">
        <f t="shared" ref="D461:Q461" si="92">Forecast_without_45_with_xx*Without_45_with_xx_AMI_value</f>
        <v>0</v>
      </c>
      <c r="E461" s="145">
        <f t="shared" si="92"/>
        <v>0</v>
      </c>
      <c r="F461" s="145">
        <f t="shared" si="92"/>
        <v>0</v>
      </c>
      <c r="G461" s="145">
        <f t="shared" si="92"/>
        <v>0</v>
      </c>
      <c r="H461" s="145">
        <f t="shared" si="92"/>
        <v>0</v>
      </c>
      <c r="I461" s="145">
        <f t="shared" si="92"/>
        <v>0</v>
      </c>
      <c r="J461" s="145">
        <f t="shared" si="92"/>
        <v>0</v>
      </c>
      <c r="K461" s="145">
        <f t="shared" si="92"/>
        <v>0</v>
      </c>
      <c r="L461" s="145">
        <f>Forecast_without_45_with_xx*Without_45_with_xx_AMI_value</f>
        <v>0</v>
      </c>
      <c r="M461" s="145">
        <f t="shared" si="92"/>
        <v>0</v>
      </c>
      <c r="N461" s="145">
        <f t="shared" si="92"/>
        <v>0</v>
      </c>
      <c r="O461" s="145">
        <f t="shared" si="92"/>
        <v>0</v>
      </c>
      <c r="P461" s="145">
        <f t="shared" si="92"/>
        <v>0</v>
      </c>
      <c r="Q461" s="145">
        <f t="shared" si="92"/>
        <v>0</v>
      </c>
      <c r="R461" s="26" t="s">
        <v>314</v>
      </c>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89"/>
      <c r="CD461" s="89"/>
      <c r="CE461" s="89"/>
      <c r="CF461" s="89"/>
      <c r="CG461" s="89"/>
      <c r="CH461" s="89"/>
      <c r="CI461" s="89"/>
      <c r="CJ461" s="89"/>
      <c r="CK461" s="89"/>
      <c r="CL461" s="89"/>
      <c r="CM461" s="89"/>
      <c r="CN461" s="89"/>
      <c r="CO461" s="89"/>
      <c r="CP461" s="89"/>
      <c r="CQ461" s="89"/>
    </row>
    <row r="462" spans="1:95" s="8" customFormat="1" ht="15" hidden="1" customHeight="1" outlineLevel="1" x14ac:dyDescent="0.25">
      <c r="A462" s="89"/>
      <c r="B462" s="135" t="s">
        <v>17</v>
      </c>
      <c r="C462" s="141"/>
      <c r="D462" s="145">
        <f t="shared" ref="D462:Q462" si="93">Forecast_without_45_48_with_xx*Without_45_48_with_xx_AMI_value</f>
        <v>0</v>
      </c>
      <c r="E462" s="145">
        <f t="shared" si="93"/>
        <v>0</v>
      </c>
      <c r="F462" s="145">
        <f t="shared" si="93"/>
        <v>0</v>
      </c>
      <c r="G462" s="145">
        <f t="shared" si="93"/>
        <v>0</v>
      </c>
      <c r="H462" s="145">
        <f t="shared" si="93"/>
        <v>0</v>
      </c>
      <c r="I462" s="145">
        <f t="shared" si="93"/>
        <v>-164.12090243594852</v>
      </c>
      <c r="J462" s="145">
        <f t="shared" si="93"/>
        <v>-23.130191073432343</v>
      </c>
      <c r="K462" s="145">
        <f t="shared" si="93"/>
        <v>0</v>
      </c>
      <c r="L462" s="145">
        <f t="shared" si="93"/>
        <v>0</v>
      </c>
      <c r="M462" s="145">
        <f t="shared" si="93"/>
        <v>0</v>
      </c>
      <c r="N462" s="145">
        <f t="shared" si="93"/>
        <v>0</v>
      </c>
      <c r="O462" s="145">
        <f t="shared" si="93"/>
        <v>0</v>
      </c>
      <c r="P462" s="145">
        <f t="shared" si="93"/>
        <v>0</v>
      </c>
      <c r="Q462" s="145">
        <f t="shared" si="93"/>
        <v>0</v>
      </c>
      <c r="R462" s="26" t="s">
        <v>315</v>
      </c>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89"/>
      <c r="CD462" s="89"/>
      <c r="CE462" s="89"/>
      <c r="CF462" s="89"/>
      <c r="CG462" s="89"/>
      <c r="CH462" s="89"/>
      <c r="CI462" s="89"/>
      <c r="CJ462" s="89"/>
      <c r="CK462" s="89"/>
      <c r="CL462" s="89"/>
      <c r="CM462" s="89"/>
      <c r="CN462" s="89"/>
      <c r="CO462" s="89"/>
      <c r="CP462" s="89"/>
      <c r="CQ462" s="89"/>
    </row>
    <row r="463" spans="1:95" s="8" customFormat="1" ht="15" hidden="1" customHeight="1" outlineLevel="1" x14ac:dyDescent="0.25">
      <c r="A463" s="89"/>
      <c r="B463" s="135" t="s">
        <v>18</v>
      </c>
      <c r="C463" s="141"/>
      <c r="D463" s="145">
        <f t="shared" ref="D463:Q463" si="94">Forecast_without_48_51_with_xx*Without_48_51_with_xx_AMI_value</f>
        <v>0</v>
      </c>
      <c r="E463" s="145">
        <f t="shared" si="94"/>
        <v>0</v>
      </c>
      <c r="F463" s="145">
        <f t="shared" si="94"/>
        <v>0</v>
      </c>
      <c r="G463" s="145">
        <f t="shared" si="94"/>
        <v>0</v>
      </c>
      <c r="H463" s="145">
        <f t="shared" si="94"/>
        <v>0</v>
      </c>
      <c r="I463" s="145">
        <f t="shared" si="94"/>
        <v>-36.471311652433009</v>
      </c>
      <c r="J463" s="145">
        <f t="shared" si="94"/>
        <v>-23.130191073432343</v>
      </c>
      <c r="K463" s="145">
        <f t="shared" si="94"/>
        <v>-103.15280435904384</v>
      </c>
      <c r="L463" s="145">
        <f t="shared" si="94"/>
        <v>0</v>
      </c>
      <c r="M463" s="145">
        <f t="shared" si="94"/>
        <v>-292.9483954692829</v>
      </c>
      <c r="N463" s="145">
        <f t="shared" si="94"/>
        <v>0</v>
      </c>
      <c r="O463" s="145">
        <f t="shared" si="94"/>
        <v>0</v>
      </c>
      <c r="P463" s="145">
        <f t="shared" si="94"/>
        <v>0</v>
      </c>
      <c r="Q463" s="145">
        <f t="shared" si="94"/>
        <v>0</v>
      </c>
      <c r="R463" s="26" t="s">
        <v>316</v>
      </c>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89"/>
      <c r="CD463" s="89"/>
      <c r="CE463" s="89"/>
      <c r="CF463" s="89"/>
      <c r="CG463" s="89"/>
      <c r="CH463" s="89"/>
      <c r="CI463" s="89"/>
      <c r="CJ463" s="89"/>
      <c r="CK463" s="89"/>
      <c r="CL463" s="89"/>
      <c r="CM463" s="89"/>
      <c r="CN463" s="89"/>
      <c r="CO463" s="89"/>
      <c r="CP463" s="89"/>
      <c r="CQ463" s="89"/>
    </row>
    <row r="464" spans="1:95" s="8" customFormat="1" ht="15" hidden="1" customHeight="1" outlineLevel="1" x14ac:dyDescent="0.25">
      <c r="A464" s="89"/>
      <c r="B464" s="135" t="s">
        <v>19</v>
      </c>
      <c r="C464" s="141"/>
      <c r="D464" s="145">
        <f t="shared" ref="D464:Q464" si="95">Forecast_without_51_54_with_xx*Without_51_54_with_xx_AMI_value</f>
        <v>0</v>
      </c>
      <c r="E464" s="145">
        <f t="shared" si="95"/>
        <v>0</v>
      </c>
      <c r="F464" s="145">
        <f t="shared" si="95"/>
        <v>0</v>
      </c>
      <c r="G464" s="145">
        <f t="shared" si="95"/>
        <v>0</v>
      </c>
      <c r="H464" s="145">
        <f t="shared" si="95"/>
        <v>0</v>
      </c>
      <c r="I464" s="145">
        <f t="shared" si="95"/>
        <v>-486.28415536577342</v>
      </c>
      <c r="J464" s="145">
        <f t="shared" si="95"/>
        <v>-647.6453500561056</v>
      </c>
      <c r="K464" s="145">
        <f t="shared" si="95"/>
        <v>-928.37523923139452</v>
      </c>
      <c r="L464" s="145">
        <f t="shared" si="95"/>
        <v>-1016.0985957653147</v>
      </c>
      <c r="M464" s="145">
        <f t="shared" si="95"/>
        <v>-292.9483954692829</v>
      </c>
      <c r="N464" s="145">
        <f t="shared" si="95"/>
        <v>-429.67322178609879</v>
      </c>
      <c r="O464" s="145">
        <f t="shared" si="95"/>
        <v>-1193.6610137797597</v>
      </c>
      <c r="P464" s="145">
        <f t="shared" si="95"/>
        <v>0</v>
      </c>
      <c r="Q464" s="145">
        <f t="shared" si="95"/>
        <v>0</v>
      </c>
      <c r="R464" s="26" t="s">
        <v>317</v>
      </c>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89"/>
      <c r="CD464" s="89"/>
      <c r="CE464" s="89"/>
      <c r="CF464" s="89"/>
      <c r="CG464" s="89"/>
      <c r="CH464" s="89"/>
      <c r="CI464" s="89"/>
      <c r="CJ464" s="89"/>
      <c r="CK464" s="89"/>
      <c r="CL464" s="89"/>
      <c r="CM464" s="89"/>
      <c r="CN464" s="89"/>
      <c r="CO464" s="89"/>
      <c r="CP464" s="89"/>
      <c r="CQ464" s="89"/>
    </row>
    <row r="465" spans="1:95" s="8" customFormat="1" ht="15" hidden="1" customHeight="1" outlineLevel="1" x14ac:dyDescent="0.25">
      <c r="A465" s="89"/>
      <c r="B465" s="135" t="s">
        <v>20</v>
      </c>
      <c r="C465" s="141"/>
      <c r="D465" s="145">
        <f t="shared" ref="D465:Q465" si="96">Forecast_without_54_57_with_xx*Without_54_57_with_xx_AMI_value</f>
        <v>0</v>
      </c>
      <c r="E465" s="145">
        <f t="shared" si="96"/>
        <v>0</v>
      </c>
      <c r="F465" s="145">
        <f t="shared" si="96"/>
        <v>0</v>
      </c>
      <c r="G465" s="145">
        <f t="shared" si="96"/>
        <v>0</v>
      </c>
      <c r="H465" s="145">
        <f t="shared" si="96"/>
        <v>0</v>
      </c>
      <c r="I465" s="145">
        <f t="shared" si="96"/>
        <v>-1501.4023296918256</v>
      </c>
      <c r="J465" s="145">
        <f t="shared" si="96"/>
        <v>-370.08305717491749</v>
      </c>
      <c r="K465" s="145">
        <f t="shared" si="96"/>
        <v>0</v>
      </c>
      <c r="L465" s="145">
        <f t="shared" si="96"/>
        <v>-92.372599615028605</v>
      </c>
      <c r="M465" s="145">
        <f t="shared" si="96"/>
        <v>-292.9483954692829</v>
      </c>
      <c r="N465" s="145">
        <f t="shared" si="96"/>
        <v>0</v>
      </c>
      <c r="O465" s="145">
        <f t="shared" si="96"/>
        <v>0</v>
      </c>
      <c r="P465" s="145">
        <f t="shared" si="96"/>
        <v>0</v>
      </c>
      <c r="Q465" s="145">
        <f t="shared" si="96"/>
        <v>0</v>
      </c>
      <c r="R465" s="26" t="s">
        <v>318</v>
      </c>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89"/>
      <c r="CD465" s="89"/>
      <c r="CE465" s="89"/>
      <c r="CF465" s="89"/>
      <c r="CG465" s="89"/>
      <c r="CH465" s="89"/>
      <c r="CI465" s="89"/>
      <c r="CJ465" s="89"/>
      <c r="CK465" s="89"/>
      <c r="CL465" s="89"/>
      <c r="CM465" s="89"/>
      <c r="CN465" s="89"/>
      <c r="CO465" s="89"/>
      <c r="CP465" s="89"/>
      <c r="CQ465" s="89"/>
    </row>
    <row r="466" spans="1:95" s="8" customFormat="1" ht="15" hidden="1" customHeight="1" outlineLevel="1" x14ac:dyDescent="0.25">
      <c r="A466" s="89"/>
      <c r="B466" s="135" t="s">
        <v>21</v>
      </c>
      <c r="C466" s="141"/>
      <c r="D466" s="145">
        <f t="shared" ref="D466:Q466" si="97">Forecast_without_57_60_with_xx*Without_57_60_with_xx_AMI_value</f>
        <v>0</v>
      </c>
      <c r="E466" s="145">
        <f t="shared" si="97"/>
        <v>0</v>
      </c>
      <c r="F466" s="145">
        <f t="shared" si="97"/>
        <v>0</v>
      </c>
      <c r="G466" s="145">
        <f t="shared" si="97"/>
        <v>0</v>
      </c>
      <c r="H466" s="145">
        <f t="shared" si="97"/>
        <v>194.51366214630937</v>
      </c>
      <c r="I466" s="145">
        <f t="shared" si="97"/>
        <v>0</v>
      </c>
      <c r="J466" s="145">
        <f t="shared" si="97"/>
        <v>-2353.1262001277041</v>
      </c>
      <c r="K466" s="145">
        <f t="shared" si="97"/>
        <v>-409.4806521370478</v>
      </c>
      <c r="L466" s="145">
        <f t="shared" si="97"/>
        <v>-172.58809534591288</v>
      </c>
      <c r="M466" s="145">
        <f t="shared" si="97"/>
        <v>-280.79129158513854</v>
      </c>
      <c r="N466" s="145">
        <f t="shared" si="97"/>
        <v>0</v>
      </c>
      <c r="O466" s="145">
        <f t="shared" si="97"/>
        <v>0</v>
      </c>
      <c r="P466" s="145">
        <f t="shared" si="97"/>
        <v>0</v>
      </c>
      <c r="Q466" s="145">
        <f t="shared" si="97"/>
        <v>0</v>
      </c>
      <c r="R466" s="26" t="s">
        <v>319</v>
      </c>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89"/>
      <c r="CD466" s="89"/>
      <c r="CE466" s="89"/>
      <c r="CF466" s="89"/>
      <c r="CG466" s="89"/>
      <c r="CH466" s="89"/>
      <c r="CI466" s="89"/>
      <c r="CJ466" s="89"/>
      <c r="CK466" s="89"/>
      <c r="CL466" s="89"/>
      <c r="CM466" s="89"/>
      <c r="CN466" s="89"/>
      <c r="CO466" s="89"/>
      <c r="CP466" s="89"/>
      <c r="CQ466" s="89"/>
    </row>
    <row r="467" spans="1:95" s="8" customFormat="1" ht="15" hidden="1" customHeight="1" outlineLevel="1" x14ac:dyDescent="0.25">
      <c r="A467" s="89"/>
      <c r="B467" s="135" t="s">
        <v>22</v>
      </c>
      <c r="C467" s="141"/>
      <c r="D467" s="145">
        <f t="shared" ref="D467:Q467" si="98">Forecast_without_60_63_with_xx*Without_60_63_with_xx_AMI_value</f>
        <v>0</v>
      </c>
      <c r="E467" s="145">
        <f t="shared" si="98"/>
        <v>0</v>
      </c>
      <c r="F467" s="145">
        <f t="shared" si="98"/>
        <v>0</v>
      </c>
      <c r="G467" s="145">
        <f t="shared" si="98"/>
        <v>0</v>
      </c>
      <c r="H467" s="145">
        <f t="shared" si="98"/>
        <v>0</v>
      </c>
      <c r="I467" s="145">
        <f t="shared" si="98"/>
        <v>1364.1311305088141</v>
      </c>
      <c r="J467" s="145">
        <f t="shared" si="98"/>
        <v>0</v>
      </c>
      <c r="K467" s="145">
        <f t="shared" si="98"/>
        <v>-4665.1786213986898</v>
      </c>
      <c r="L467" s="145">
        <f t="shared" si="98"/>
        <v>-1246.3633537487326</v>
      </c>
      <c r="M467" s="145">
        <f t="shared" si="98"/>
        <v>-123.34400666120911</v>
      </c>
      <c r="N467" s="145">
        <f t="shared" si="98"/>
        <v>0</v>
      </c>
      <c r="O467" s="145">
        <f t="shared" si="98"/>
        <v>0</v>
      </c>
      <c r="P467" s="145">
        <f t="shared" si="98"/>
        <v>0</v>
      </c>
      <c r="Q467" s="145">
        <f t="shared" si="98"/>
        <v>0</v>
      </c>
      <c r="R467" s="26" t="s">
        <v>320</v>
      </c>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89"/>
      <c r="CD467" s="89"/>
      <c r="CE467" s="89"/>
      <c r="CF467" s="89"/>
      <c r="CG467" s="89"/>
      <c r="CH467" s="89"/>
      <c r="CI467" s="89"/>
      <c r="CJ467" s="89"/>
      <c r="CK467" s="89"/>
      <c r="CL467" s="89"/>
      <c r="CM467" s="89"/>
      <c r="CN467" s="89"/>
      <c r="CO467" s="89"/>
      <c r="CP467" s="89"/>
      <c r="CQ467" s="89"/>
    </row>
    <row r="468" spans="1:95" s="8" customFormat="1" ht="15" hidden="1" customHeight="1" outlineLevel="1" x14ac:dyDescent="0.25">
      <c r="A468" s="89"/>
      <c r="B468" s="135" t="s">
        <v>23</v>
      </c>
      <c r="C468" s="141"/>
      <c r="D468" s="145">
        <f t="shared" ref="D468:Q468" si="99">Forecast_without_63_66_with_xx*Without_63_66_with_xx_AMI_value</f>
        <v>0</v>
      </c>
      <c r="E468" s="145">
        <f t="shared" si="99"/>
        <v>0</v>
      </c>
      <c r="F468" s="145">
        <f t="shared" si="99"/>
        <v>0</v>
      </c>
      <c r="G468" s="145">
        <f t="shared" si="99"/>
        <v>0</v>
      </c>
      <c r="H468" s="145">
        <f t="shared" si="99"/>
        <v>0</v>
      </c>
      <c r="I468" s="145">
        <f t="shared" si="99"/>
        <v>2365.8882123473873</v>
      </c>
      <c r="J468" s="145">
        <f t="shared" si="99"/>
        <v>199.12347774262702</v>
      </c>
      <c r="K468" s="145">
        <f t="shared" si="99"/>
        <v>0</v>
      </c>
      <c r="L468" s="145">
        <f t="shared" si="99"/>
        <v>-5956.2448255839763</v>
      </c>
      <c r="M468" s="145">
        <f t="shared" si="99"/>
        <v>-379.59118222047812</v>
      </c>
      <c r="N468" s="145">
        <f t="shared" si="99"/>
        <v>0</v>
      </c>
      <c r="O468" s="145">
        <f t="shared" si="99"/>
        <v>0</v>
      </c>
      <c r="P468" s="145">
        <f t="shared" si="99"/>
        <v>0</v>
      </c>
      <c r="Q468" s="145">
        <f t="shared" si="99"/>
        <v>0</v>
      </c>
      <c r="R468" s="26" t="s">
        <v>321</v>
      </c>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89"/>
      <c r="CD468" s="89"/>
      <c r="CE468" s="89"/>
      <c r="CF468" s="89"/>
      <c r="CG468" s="89"/>
      <c r="CH468" s="89"/>
      <c r="CI468" s="89"/>
      <c r="CJ468" s="89"/>
      <c r="CK468" s="89"/>
      <c r="CL468" s="89"/>
      <c r="CM468" s="89"/>
      <c r="CN468" s="89"/>
      <c r="CO468" s="89"/>
      <c r="CP468" s="89"/>
      <c r="CQ468" s="89"/>
    </row>
    <row r="469" spans="1:95" s="8" customFormat="1" ht="15" hidden="1" customHeight="1" outlineLevel="1" x14ac:dyDescent="0.25">
      <c r="A469" s="89"/>
      <c r="B469" s="135" t="s">
        <v>24</v>
      </c>
      <c r="C469" s="141"/>
      <c r="D469" s="145">
        <f t="shared" ref="D469:Q469" si="100">Forecast_without_66_69_with_xx*Without_66_69_with_xx_AMI_value</f>
        <v>0</v>
      </c>
      <c r="E469" s="145">
        <f t="shared" si="100"/>
        <v>0</v>
      </c>
      <c r="F469" s="145">
        <f t="shared" si="100"/>
        <v>0</v>
      </c>
      <c r="G469" s="145">
        <f t="shared" si="100"/>
        <v>0</v>
      </c>
      <c r="H469" s="145">
        <f t="shared" si="100"/>
        <v>0</v>
      </c>
      <c r="I469" s="145">
        <f t="shared" si="100"/>
        <v>0</v>
      </c>
      <c r="J469" s="145">
        <f t="shared" si="100"/>
        <v>0</v>
      </c>
      <c r="K469" s="145">
        <f t="shared" si="100"/>
        <v>2570.1604384369211</v>
      </c>
      <c r="L469" s="145">
        <f t="shared" si="100"/>
        <v>0</v>
      </c>
      <c r="M469" s="145">
        <f t="shared" si="100"/>
        <v>-1460.7431492295466</v>
      </c>
      <c r="N469" s="145">
        <f t="shared" si="100"/>
        <v>-244.92802255604153</v>
      </c>
      <c r="O469" s="145">
        <f t="shared" si="100"/>
        <v>0</v>
      </c>
      <c r="P469" s="145">
        <f t="shared" si="100"/>
        <v>0</v>
      </c>
      <c r="Q469" s="145">
        <f t="shared" si="100"/>
        <v>0</v>
      </c>
      <c r="R469" s="26" t="s">
        <v>322</v>
      </c>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89"/>
      <c r="CD469" s="89"/>
      <c r="CE469" s="89"/>
      <c r="CF469" s="89"/>
      <c r="CG469" s="89"/>
      <c r="CH469" s="89"/>
      <c r="CI469" s="89"/>
      <c r="CJ469" s="89"/>
      <c r="CK469" s="89"/>
      <c r="CL469" s="89"/>
      <c r="CM469" s="89"/>
      <c r="CN469" s="89"/>
      <c r="CO469" s="89"/>
      <c r="CP469" s="89"/>
      <c r="CQ469" s="89"/>
    </row>
    <row r="470" spans="1:95" s="8" customFormat="1" ht="15" hidden="1" customHeight="1" outlineLevel="1" x14ac:dyDescent="0.25">
      <c r="A470" s="89"/>
      <c r="B470" s="135" t="s">
        <v>25</v>
      </c>
      <c r="C470" s="141"/>
      <c r="D470" s="145">
        <f t="shared" ref="D470:Q470" si="101">Forecast_without_69_72_with_xx*Without_69_72_with_xx_AMI_value</f>
        <v>0</v>
      </c>
      <c r="E470" s="145">
        <f t="shared" si="101"/>
        <v>0</v>
      </c>
      <c r="F470" s="145">
        <f t="shared" si="101"/>
        <v>0</v>
      </c>
      <c r="G470" s="145">
        <f t="shared" si="101"/>
        <v>0</v>
      </c>
      <c r="H470" s="145">
        <f t="shared" si="101"/>
        <v>0</v>
      </c>
      <c r="I470" s="145">
        <f t="shared" si="101"/>
        <v>0</v>
      </c>
      <c r="J470" s="145">
        <f t="shared" si="101"/>
        <v>0</v>
      </c>
      <c r="K470" s="145">
        <f t="shared" si="101"/>
        <v>0</v>
      </c>
      <c r="L470" s="145">
        <f t="shared" si="101"/>
        <v>1839.4543360668365</v>
      </c>
      <c r="M470" s="145">
        <f t="shared" si="101"/>
        <v>0</v>
      </c>
      <c r="N470" s="145">
        <f t="shared" si="101"/>
        <v>-2529.4092868610933</v>
      </c>
      <c r="O470" s="145">
        <f t="shared" si="101"/>
        <v>0</v>
      </c>
      <c r="P470" s="145">
        <f t="shared" si="101"/>
        <v>0</v>
      </c>
      <c r="Q470" s="145">
        <f t="shared" si="101"/>
        <v>0</v>
      </c>
      <c r="R470" s="26" t="s">
        <v>323</v>
      </c>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89"/>
      <c r="CD470" s="89"/>
      <c r="CE470" s="89"/>
      <c r="CF470" s="89"/>
      <c r="CG470" s="89"/>
      <c r="CH470" s="89"/>
      <c r="CI470" s="89"/>
      <c r="CJ470" s="89"/>
      <c r="CK470" s="89"/>
      <c r="CL470" s="89"/>
      <c r="CM470" s="89"/>
      <c r="CN470" s="89"/>
      <c r="CO470" s="89"/>
      <c r="CP470" s="89"/>
      <c r="CQ470" s="89"/>
    </row>
    <row r="471" spans="1:95" s="8" customFormat="1" ht="15" hidden="1" customHeight="1" outlineLevel="1" x14ac:dyDescent="0.25">
      <c r="A471" s="89"/>
      <c r="B471" s="135" t="s">
        <v>26</v>
      </c>
      <c r="C471" s="141"/>
      <c r="D471" s="145">
        <f t="shared" ref="D471:Q471" si="102">Forecast_without_72_75_with_xx*Without_72_75_with_xx_AMI_value</f>
        <v>0</v>
      </c>
      <c r="E471" s="145">
        <f t="shared" si="102"/>
        <v>0</v>
      </c>
      <c r="F471" s="145">
        <f t="shared" si="102"/>
        <v>0</v>
      </c>
      <c r="G471" s="145">
        <f t="shared" si="102"/>
        <v>0</v>
      </c>
      <c r="H471" s="145">
        <f t="shared" si="102"/>
        <v>0</v>
      </c>
      <c r="I471" s="145">
        <f t="shared" si="102"/>
        <v>0</v>
      </c>
      <c r="J471" s="145">
        <f t="shared" si="102"/>
        <v>0</v>
      </c>
      <c r="K471" s="145">
        <f t="shared" si="102"/>
        <v>0</v>
      </c>
      <c r="L471" s="145">
        <f t="shared" si="102"/>
        <v>0</v>
      </c>
      <c r="M471" s="145">
        <f t="shared" si="102"/>
        <v>2529.4092868610933</v>
      </c>
      <c r="N471" s="145">
        <f t="shared" si="102"/>
        <v>0</v>
      </c>
      <c r="O471" s="145">
        <f t="shared" si="102"/>
        <v>-585.05049786323366</v>
      </c>
      <c r="P471" s="145">
        <f t="shared" si="102"/>
        <v>-182.38627205322649</v>
      </c>
      <c r="Q471" s="145">
        <f t="shared" si="102"/>
        <v>0</v>
      </c>
      <c r="R471" s="26" t="s">
        <v>324</v>
      </c>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89"/>
      <c r="CD471" s="89"/>
      <c r="CE471" s="89"/>
      <c r="CF471" s="89"/>
      <c r="CG471" s="89"/>
      <c r="CH471" s="89"/>
      <c r="CI471" s="89"/>
      <c r="CJ471" s="89"/>
      <c r="CK471" s="89"/>
      <c r="CL471" s="89"/>
      <c r="CM471" s="89"/>
      <c r="CN471" s="89"/>
      <c r="CO471" s="89"/>
      <c r="CP471" s="89"/>
      <c r="CQ471" s="89"/>
    </row>
    <row r="472" spans="1:95" s="8" customFormat="1" ht="15" hidden="1" customHeight="1" outlineLevel="1" x14ac:dyDescent="0.25">
      <c r="A472" s="89"/>
      <c r="B472" s="135" t="s">
        <v>27</v>
      </c>
      <c r="C472" s="141"/>
      <c r="D472" s="145">
        <f t="shared" ref="D472:Q472" si="103">Forecast_without_75_78_with_xx*Without_75_78_with_xx_AMI_value</f>
        <v>0</v>
      </c>
      <c r="E472" s="145">
        <f t="shared" si="103"/>
        <v>0</v>
      </c>
      <c r="F472" s="145">
        <f t="shared" si="103"/>
        <v>0</v>
      </c>
      <c r="G472" s="145">
        <f t="shared" si="103"/>
        <v>0</v>
      </c>
      <c r="H472" s="145">
        <f t="shared" si="103"/>
        <v>0</v>
      </c>
      <c r="I472" s="145">
        <f t="shared" si="103"/>
        <v>0</v>
      </c>
      <c r="J472" s="145">
        <f t="shared" si="103"/>
        <v>0</v>
      </c>
      <c r="K472" s="145">
        <f t="shared" si="103"/>
        <v>0</v>
      </c>
      <c r="L472" s="145">
        <f t="shared" si="103"/>
        <v>0</v>
      </c>
      <c r="M472" s="145">
        <f t="shared" si="103"/>
        <v>0</v>
      </c>
      <c r="N472" s="145">
        <f t="shared" si="103"/>
        <v>250.73592765567156</v>
      </c>
      <c r="O472" s="145">
        <f t="shared" si="103"/>
        <v>0</v>
      </c>
      <c r="P472" s="145">
        <f t="shared" si="103"/>
        <v>0</v>
      </c>
      <c r="Q472" s="145">
        <f t="shared" si="103"/>
        <v>0</v>
      </c>
      <c r="R472" s="26" t="s">
        <v>325</v>
      </c>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89"/>
      <c r="CD472" s="89"/>
      <c r="CE472" s="89"/>
      <c r="CF472" s="89"/>
      <c r="CG472" s="89"/>
      <c r="CH472" s="89"/>
      <c r="CI472" s="89"/>
      <c r="CJ472" s="89"/>
      <c r="CK472" s="89"/>
      <c r="CL472" s="89"/>
      <c r="CM472" s="89"/>
      <c r="CN472" s="89"/>
      <c r="CO472" s="89"/>
      <c r="CP472" s="89"/>
      <c r="CQ472" s="89"/>
    </row>
    <row r="473" spans="1:95" s="8" customFormat="1" ht="15" hidden="1" customHeight="1" outlineLevel="1" x14ac:dyDescent="0.25">
      <c r="A473" s="89"/>
      <c r="B473" s="135" t="s">
        <v>28</v>
      </c>
      <c r="C473" s="141"/>
      <c r="D473" s="145">
        <f t="shared" ref="D473:Q473" si="104">Forecast_without_78_81_with_xx*Without_78_81_with_xx_AMI_value</f>
        <v>0</v>
      </c>
      <c r="E473" s="145">
        <f t="shared" si="104"/>
        <v>0</v>
      </c>
      <c r="F473" s="145">
        <f t="shared" si="104"/>
        <v>0</v>
      </c>
      <c r="G473" s="145">
        <f t="shared" si="104"/>
        <v>0</v>
      </c>
      <c r="H473" s="145">
        <f t="shared" si="104"/>
        <v>0</v>
      </c>
      <c r="I473" s="145">
        <f t="shared" si="104"/>
        <v>0</v>
      </c>
      <c r="J473" s="145">
        <f t="shared" si="104"/>
        <v>0</v>
      </c>
      <c r="K473" s="145">
        <f t="shared" si="104"/>
        <v>0</v>
      </c>
      <c r="L473" s="145">
        <f t="shared" si="104"/>
        <v>0</v>
      </c>
      <c r="M473" s="145">
        <f t="shared" si="104"/>
        <v>0</v>
      </c>
      <c r="N473" s="145">
        <f t="shared" si="104"/>
        <v>0</v>
      </c>
      <c r="O473" s="145">
        <f t="shared" si="104"/>
        <v>0</v>
      </c>
      <c r="P473" s="145">
        <f t="shared" si="104"/>
        <v>0</v>
      </c>
      <c r="Q473" s="145">
        <f t="shared" si="104"/>
        <v>0</v>
      </c>
      <c r="R473" s="26" t="s">
        <v>326</v>
      </c>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89"/>
      <c r="CD473" s="89"/>
      <c r="CE473" s="89"/>
      <c r="CF473" s="89"/>
      <c r="CG473" s="89"/>
      <c r="CH473" s="89"/>
      <c r="CI473" s="89"/>
      <c r="CJ473" s="89"/>
      <c r="CK473" s="89"/>
      <c r="CL473" s="89"/>
      <c r="CM473" s="89"/>
      <c r="CN473" s="89"/>
      <c r="CO473" s="89"/>
      <c r="CP473" s="89"/>
      <c r="CQ473" s="89"/>
    </row>
    <row r="474" spans="1:95" s="8" customFormat="1" ht="15" hidden="1" customHeight="1" outlineLevel="1" x14ac:dyDescent="0.25">
      <c r="A474" s="89"/>
      <c r="B474" s="135" t="s">
        <v>29</v>
      </c>
      <c r="C474" s="142"/>
      <c r="D474" s="145">
        <f t="shared" ref="D474:Q474" si="105">Forecast_without_81_with_xx*Without_81_with_xx_AMI_value</f>
        <v>0</v>
      </c>
      <c r="E474" s="145">
        <f t="shared" si="105"/>
        <v>0</v>
      </c>
      <c r="F474" s="145">
        <f t="shared" si="105"/>
        <v>0</v>
      </c>
      <c r="G474" s="145">
        <f t="shared" si="105"/>
        <v>0</v>
      </c>
      <c r="H474" s="145">
        <f t="shared" si="105"/>
        <v>0</v>
      </c>
      <c r="I474" s="145">
        <f t="shared" si="105"/>
        <v>0</v>
      </c>
      <c r="J474" s="145">
        <f t="shared" si="105"/>
        <v>0</v>
      </c>
      <c r="K474" s="145">
        <f t="shared" si="105"/>
        <v>0</v>
      </c>
      <c r="L474" s="145">
        <f t="shared" si="105"/>
        <v>0</v>
      </c>
      <c r="M474" s="145">
        <f t="shared" si="105"/>
        <v>0</v>
      </c>
      <c r="N474" s="145">
        <f t="shared" si="105"/>
        <v>0</v>
      </c>
      <c r="O474" s="145">
        <f t="shared" si="105"/>
        <v>0</v>
      </c>
      <c r="P474" s="145">
        <f t="shared" si="105"/>
        <v>0</v>
      </c>
      <c r="Q474" s="145">
        <f t="shared" si="105"/>
        <v>0</v>
      </c>
      <c r="R474" s="26" t="s">
        <v>327</v>
      </c>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row>
    <row r="475" spans="1:95" s="8" customFormat="1" ht="15" hidden="1" customHeight="1" outlineLevel="1" x14ac:dyDescent="0.25">
      <c r="A475" s="89"/>
      <c r="B475" s="133"/>
      <c r="C475" s="133"/>
      <c r="D475" s="133"/>
      <c r="E475" s="133"/>
      <c r="F475" s="133"/>
      <c r="G475" s="133"/>
      <c r="H475" s="133"/>
      <c r="I475" s="133"/>
      <c r="J475" s="133"/>
      <c r="K475" s="133"/>
      <c r="L475" s="133"/>
      <c r="M475" s="133"/>
      <c r="N475" s="133"/>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89"/>
      <c r="CD475" s="89"/>
      <c r="CE475" s="89"/>
      <c r="CF475" s="89"/>
      <c r="CG475" s="89"/>
      <c r="CH475" s="89"/>
      <c r="CI475" s="89"/>
      <c r="CJ475" s="89"/>
      <c r="CK475" s="89"/>
      <c r="CL475" s="89"/>
      <c r="CM475" s="89"/>
      <c r="CN475" s="89"/>
      <c r="CO475" s="89"/>
      <c r="CP475" s="89"/>
      <c r="CQ475" s="89"/>
    </row>
    <row r="476" spans="1:95" s="8" customFormat="1" ht="15" hidden="1" customHeight="1" outlineLevel="1" x14ac:dyDescent="0.25">
      <c r="A476" s="89"/>
      <c r="B476" s="143" t="s">
        <v>328</v>
      </c>
      <c r="C476" s="144">
        <f>SUM(Forecast_without_45_with_xx_AMI_cost,Forecast_without_45_48_with_xx_AMI_cost,Forecast_without_48_51_with_xx_AMI_cost,Forecast_without_51_54_with_xx_AMI_cost,Forecast_without_54_57_with_xx_AMI_cost,Forecast_without_57_60_with_xx_AMI_cost,Forecast_without_60_63_with_xx_AMI_cost,Forecast_without_63_66_with_xx_AMI_cost,Forecast_without_66_69_with_xx_AMI_cost,Forecast_without_69_72_with_xx_AMI_cost,Forecast_without_72_75_with_xx_AMI_cost,Forecast_without_75_78_with_xx_AMI_cost,Forecast_without_78_81_with_xx_AMI_cost,Forecast_without_81_with_xx_AMI_cost,)</f>
        <v>-17170.255135074738</v>
      </c>
      <c r="D476" s="30" t="s">
        <v>329</v>
      </c>
      <c r="E476" s="133"/>
      <c r="F476" s="133"/>
      <c r="G476" s="133"/>
      <c r="H476" s="133"/>
      <c r="I476" s="133"/>
      <c r="J476" s="133"/>
      <c r="K476" s="133"/>
      <c r="L476" s="133"/>
      <c r="M476" s="133"/>
      <c r="N476" s="133"/>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89"/>
      <c r="CD476" s="89"/>
      <c r="CE476" s="89"/>
      <c r="CF476" s="89"/>
      <c r="CG476" s="89"/>
      <c r="CH476" s="89"/>
      <c r="CI476" s="89"/>
      <c r="CJ476" s="89"/>
      <c r="CK476" s="89"/>
      <c r="CL476" s="89"/>
      <c r="CM476" s="89"/>
      <c r="CN476" s="89"/>
      <c r="CO476" s="89"/>
      <c r="CP476" s="89"/>
      <c r="CQ476" s="89"/>
    </row>
    <row r="477" spans="1:95" s="8" customFormat="1" ht="15" hidden="1" customHeight="1" outlineLevel="1" x14ac:dyDescent="0.25">
      <c r="A477" s="89"/>
      <c r="B477" s="133"/>
      <c r="C477" s="133"/>
      <c r="D477" s="30"/>
      <c r="E477" s="133"/>
      <c r="F477" s="133"/>
      <c r="G477" s="133"/>
      <c r="H477" s="133"/>
      <c r="I477" s="133"/>
      <c r="J477" s="133"/>
      <c r="K477" s="133"/>
      <c r="L477" s="133"/>
      <c r="M477" s="133"/>
      <c r="N477" s="133"/>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89"/>
      <c r="CD477" s="89"/>
      <c r="CE477" s="89"/>
      <c r="CF477" s="89"/>
      <c r="CG477" s="89"/>
      <c r="CH477" s="89"/>
      <c r="CI477" s="89"/>
      <c r="CJ477" s="89"/>
      <c r="CK477" s="89"/>
      <c r="CL477" s="89"/>
      <c r="CM477" s="89"/>
      <c r="CN477" s="89"/>
      <c r="CO477" s="89"/>
      <c r="CP477" s="89"/>
      <c r="CQ477" s="89"/>
    </row>
    <row r="478" spans="1:95" s="8" customFormat="1" ht="15" hidden="1" customHeight="1" outlineLevel="1" x14ac:dyDescent="0.25">
      <c r="A478" s="89"/>
      <c r="B478" s="133" t="s">
        <v>330</v>
      </c>
      <c r="C478" s="144">
        <f>Forecast_year_AMI_cost-Opening_year_AMI_cost</f>
        <v>2758.2172810511438</v>
      </c>
      <c r="D478" s="30" t="s">
        <v>331</v>
      </c>
      <c r="E478" s="133"/>
      <c r="F478" s="133"/>
      <c r="G478" s="133"/>
      <c r="H478" s="133"/>
      <c r="I478" s="133"/>
      <c r="J478" s="133"/>
      <c r="K478" s="133"/>
      <c r="L478" s="133"/>
      <c r="M478" s="133"/>
      <c r="N478" s="133"/>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89"/>
      <c r="CD478" s="89"/>
      <c r="CE478" s="89"/>
      <c r="CF478" s="89"/>
      <c r="CG478" s="89"/>
      <c r="CH478" s="89"/>
      <c r="CI478" s="89"/>
      <c r="CJ478" s="89"/>
      <c r="CK478" s="89"/>
      <c r="CL478" s="89"/>
      <c r="CM478" s="89"/>
      <c r="CN478" s="89"/>
      <c r="CO478" s="89"/>
      <c r="CP478" s="89"/>
      <c r="CQ478" s="89"/>
    </row>
    <row r="479" spans="1:95" ht="15" hidden="1" outlineLevel="1" x14ac:dyDescent="0.25">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c r="AO479" s="131"/>
      <c r="AP479" s="131"/>
      <c r="AQ479" s="131"/>
      <c r="AR479" s="131"/>
      <c r="AS479" s="131"/>
      <c r="AT479" s="131"/>
      <c r="AU479" s="131"/>
      <c r="AV479" s="131"/>
      <c r="AW479" s="131"/>
      <c r="AX479" s="131"/>
      <c r="AY479" s="131"/>
      <c r="AZ479" s="131"/>
      <c r="BA479" s="131"/>
      <c r="BB479" s="131"/>
      <c r="BC479" s="131"/>
      <c r="BD479" s="131"/>
      <c r="BE479" s="131"/>
      <c r="BF479" s="131"/>
      <c r="BG479" s="131"/>
      <c r="BH479" s="131"/>
      <c r="BI479" s="131"/>
      <c r="BJ479" s="131"/>
      <c r="BK479" s="131"/>
      <c r="BL479" s="131"/>
      <c r="BM479" s="131"/>
      <c r="BN479" s="131"/>
      <c r="BO479" s="131"/>
      <c r="BP479" s="131"/>
      <c r="BQ479" s="131"/>
      <c r="BR479" s="131"/>
      <c r="BS479" s="131"/>
      <c r="BT479" s="131"/>
      <c r="BU479" s="131"/>
      <c r="BV479" s="131"/>
      <c r="BW479" s="131"/>
      <c r="BX479" s="131"/>
      <c r="BY479" s="131"/>
      <c r="BZ479" s="131"/>
      <c r="CA479" s="131"/>
      <c r="CB479" s="131"/>
      <c r="CC479" s="131"/>
      <c r="CD479" s="131"/>
      <c r="CE479" s="131"/>
      <c r="CF479" s="131"/>
      <c r="CG479" s="131"/>
      <c r="CH479" s="131"/>
      <c r="CI479" s="131"/>
      <c r="CJ479" s="131"/>
      <c r="CK479" s="131"/>
      <c r="CL479" s="131"/>
      <c r="CM479" s="131"/>
      <c r="CN479" s="131"/>
      <c r="CO479" s="131"/>
      <c r="CP479" s="131"/>
      <c r="CQ479" s="131"/>
    </row>
    <row r="480" spans="1:95" s="29" customFormat="1" ht="15.75" hidden="1" outlineLevel="1" x14ac:dyDescent="0.25">
      <c r="B480" s="29" t="s">
        <v>332</v>
      </c>
    </row>
    <row r="481" spans="1:95" s="8" customFormat="1" ht="15" hidden="1" customHeight="1" outlineLevel="1" x14ac:dyDescent="0.25">
      <c r="A481" s="89"/>
      <c r="B481" s="133"/>
      <c r="C481" s="133"/>
      <c r="D481" s="133"/>
      <c r="E481" s="133"/>
      <c r="F481" s="133"/>
      <c r="G481" s="133"/>
      <c r="H481" s="133"/>
      <c r="I481" s="133"/>
      <c r="J481" s="133"/>
      <c r="K481" s="133"/>
      <c r="L481" s="133"/>
      <c r="M481" s="133"/>
      <c r="N481" s="133"/>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89"/>
      <c r="CD481" s="89"/>
      <c r="CE481" s="89"/>
      <c r="CF481" s="89"/>
      <c r="CG481" s="89"/>
      <c r="CH481" s="89"/>
      <c r="CI481" s="89"/>
      <c r="CJ481" s="89"/>
      <c r="CK481" s="89"/>
      <c r="CL481" s="89"/>
      <c r="CM481" s="89"/>
      <c r="CN481" s="89"/>
      <c r="CO481" s="89"/>
      <c r="CP481" s="89"/>
      <c r="CQ481" s="89"/>
    </row>
    <row r="482" spans="1:95" s="8" customFormat="1" ht="15" hidden="1" customHeight="1" outlineLevel="1" x14ac:dyDescent="0.25">
      <c r="A482" s="89"/>
      <c r="B482" s="134"/>
      <c r="C482" s="91" t="s">
        <v>15</v>
      </c>
      <c r="D482" s="92" t="s">
        <v>16</v>
      </c>
      <c r="E482" s="135" t="s">
        <v>17</v>
      </c>
      <c r="F482" s="135" t="s">
        <v>18</v>
      </c>
      <c r="G482" s="135" t="s">
        <v>19</v>
      </c>
      <c r="H482" s="135" t="s">
        <v>20</v>
      </c>
      <c r="I482" s="135" t="s">
        <v>21</v>
      </c>
      <c r="J482" s="135" t="s">
        <v>22</v>
      </c>
      <c r="K482" s="135" t="s">
        <v>23</v>
      </c>
      <c r="L482" s="135" t="s">
        <v>24</v>
      </c>
      <c r="M482" s="135" t="s">
        <v>25</v>
      </c>
      <c r="N482" s="135" t="s">
        <v>26</v>
      </c>
      <c r="O482" s="135" t="s">
        <v>27</v>
      </c>
      <c r="P482" s="135" t="s">
        <v>28</v>
      </c>
      <c r="Q482" s="135" t="s">
        <v>29</v>
      </c>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89"/>
      <c r="CD482" s="89"/>
      <c r="CE482" s="89"/>
      <c r="CF482" s="89"/>
      <c r="CG482" s="89"/>
      <c r="CH482" s="89"/>
      <c r="CI482" s="89"/>
      <c r="CJ482" s="89"/>
      <c r="CK482" s="89"/>
      <c r="CL482" s="89"/>
      <c r="CM482" s="89"/>
      <c r="CN482" s="89"/>
      <c r="CO482" s="89"/>
      <c r="CP482" s="89"/>
      <c r="CQ482" s="89"/>
    </row>
    <row r="483" spans="1:95" s="8" customFormat="1" ht="15" hidden="1" customHeight="1" outlineLevel="1" x14ac:dyDescent="0.25">
      <c r="A483" s="89"/>
      <c r="B483" s="91" t="s">
        <v>30</v>
      </c>
      <c r="C483" s="136"/>
      <c r="D483" s="137"/>
      <c r="E483" s="138"/>
      <c r="F483" s="138"/>
      <c r="G483" s="138"/>
      <c r="H483" s="138"/>
      <c r="I483" s="138"/>
      <c r="J483" s="138"/>
      <c r="K483" s="138"/>
      <c r="L483" s="138"/>
      <c r="M483" s="138"/>
      <c r="N483" s="138"/>
      <c r="O483" s="138"/>
      <c r="P483" s="138"/>
      <c r="Q483" s="136"/>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89"/>
      <c r="CD483" s="89"/>
      <c r="CE483" s="89"/>
      <c r="CF483" s="89"/>
      <c r="CG483" s="89"/>
      <c r="CH483" s="89"/>
      <c r="CI483" s="89"/>
      <c r="CJ483" s="89"/>
      <c r="CK483" s="89"/>
      <c r="CL483" s="89"/>
      <c r="CM483" s="89"/>
      <c r="CN483" s="89"/>
      <c r="CO483" s="89"/>
      <c r="CP483" s="89"/>
      <c r="CQ483" s="89"/>
    </row>
    <row r="484" spans="1:95" s="8" customFormat="1" ht="15" hidden="1" customHeight="1" outlineLevel="1" x14ac:dyDescent="0.25">
      <c r="A484" s="89"/>
      <c r="B484" s="92" t="s">
        <v>16</v>
      </c>
      <c r="C484" s="139"/>
      <c r="D484" s="145">
        <f t="shared" ref="D484:Q484" si="106">Opening_without_45_with_xx*Without_45_with_xx_stroke_value</f>
        <v>0</v>
      </c>
      <c r="E484" s="145">
        <f t="shared" si="106"/>
        <v>0</v>
      </c>
      <c r="F484" s="145">
        <f t="shared" si="106"/>
        <v>-355.38818249345616</v>
      </c>
      <c r="G484" s="145">
        <f t="shared" si="106"/>
        <v>0</v>
      </c>
      <c r="H484" s="145">
        <f t="shared" si="106"/>
        <v>0</v>
      </c>
      <c r="I484" s="145">
        <f t="shared" si="106"/>
        <v>-27.102327140816211</v>
      </c>
      <c r="J484" s="145">
        <f t="shared" si="106"/>
        <v>0</v>
      </c>
      <c r="K484" s="145">
        <f t="shared" si="106"/>
        <v>0</v>
      </c>
      <c r="L484" s="145">
        <f t="shared" si="106"/>
        <v>0</v>
      </c>
      <c r="M484" s="145">
        <f t="shared" si="106"/>
        <v>0</v>
      </c>
      <c r="N484" s="145">
        <f t="shared" si="106"/>
        <v>0</v>
      </c>
      <c r="O484" s="145">
        <f t="shared" si="106"/>
        <v>0</v>
      </c>
      <c r="P484" s="145">
        <f t="shared" si="106"/>
        <v>0</v>
      </c>
      <c r="Q484" s="145">
        <f t="shared" si="106"/>
        <v>0</v>
      </c>
      <c r="R484" s="26" t="s">
        <v>333</v>
      </c>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89"/>
      <c r="CD484" s="89"/>
      <c r="CE484" s="89"/>
      <c r="CF484" s="89"/>
      <c r="CG484" s="89"/>
      <c r="CH484" s="89"/>
      <c r="CI484" s="89"/>
      <c r="CJ484" s="89"/>
      <c r="CK484" s="89"/>
      <c r="CL484" s="89"/>
      <c r="CM484" s="89"/>
      <c r="CN484" s="89"/>
      <c r="CO484" s="89"/>
      <c r="CP484" s="89"/>
      <c r="CQ484" s="89"/>
    </row>
    <row r="485" spans="1:95" s="8" customFormat="1" ht="15" hidden="1" customHeight="1" outlineLevel="1" x14ac:dyDescent="0.25">
      <c r="A485" s="89"/>
      <c r="B485" s="135" t="s">
        <v>17</v>
      </c>
      <c r="C485" s="141"/>
      <c r="D485" s="145">
        <f t="shared" ref="D485:Q485" si="107">Opening_without_45_48_with_xx*Without_45_48_with_xx_stroke_value</f>
        <v>0</v>
      </c>
      <c r="E485" s="145">
        <f t="shared" si="107"/>
        <v>0</v>
      </c>
      <c r="F485" s="145">
        <f t="shared" si="107"/>
        <v>-5301.6925585089357</v>
      </c>
      <c r="G485" s="145">
        <f t="shared" si="107"/>
        <v>-514.59126746024504</v>
      </c>
      <c r="H485" s="145">
        <f t="shared" si="107"/>
        <v>-1157.4901731945017</v>
      </c>
      <c r="I485" s="145">
        <f t="shared" si="107"/>
        <v>-894.37679564693497</v>
      </c>
      <c r="J485" s="145">
        <f t="shared" si="107"/>
        <v>-137.20816482898135</v>
      </c>
      <c r="K485" s="145">
        <f t="shared" si="107"/>
        <v>0</v>
      </c>
      <c r="L485" s="145">
        <f t="shared" si="107"/>
        <v>0</v>
      </c>
      <c r="M485" s="145">
        <f t="shared" si="107"/>
        <v>0</v>
      </c>
      <c r="N485" s="145">
        <f t="shared" si="107"/>
        <v>0</v>
      </c>
      <c r="O485" s="145">
        <f t="shared" si="107"/>
        <v>0</v>
      </c>
      <c r="P485" s="145">
        <f t="shared" si="107"/>
        <v>0</v>
      </c>
      <c r="Q485" s="145">
        <f t="shared" si="107"/>
        <v>0</v>
      </c>
      <c r="R485" s="26" t="s">
        <v>334</v>
      </c>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89"/>
      <c r="CD485" s="89"/>
      <c r="CE485" s="89"/>
      <c r="CF485" s="89"/>
      <c r="CG485" s="89"/>
      <c r="CH485" s="89"/>
      <c r="CI485" s="89"/>
      <c r="CJ485" s="89"/>
      <c r="CK485" s="89"/>
      <c r="CL485" s="89"/>
      <c r="CM485" s="89"/>
      <c r="CN485" s="89"/>
      <c r="CO485" s="89"/>
      <c r="CP485" s="89"/>
      <c r="CQ485" s="89"/>
    </row>
    <row r="486" spans="1:95" s="8" customFormat="1" ht="15" hidden="1" customHeight="1" outlineLevel="1" x14ac:dyDescent="0.25">
      <c r="A486" s="89"/>
      <c r="B486" s="135" t="s">
        <v>18</v>
      </c>
      <c r="C486" s="141"/>
      <c r="D486" s="145">
        <f t="shared" ref="D486:Q486" si="108">Opening_without_48_51_with_xx*Without_48_51_with_xx_stroke_value</f>
        <v>0</v>
      </c>
      <c r="E486" s="145">
        <f t="shared" si="108"/>
        <v>0</v>
      </c>
      <c r="F486" s="145">
        <f t="shared" si="108"/>
        <v>0</v>
      </c>
      <c r="G486" s="145">
        <f t="shared" si="108"/>
        <v>-9079.9822212230956</v>
      </c>
      <c r="H486" s="145">
        <f t="shared" si="108"/>
        <v>-2289.1719979648251</v>
      </c>
      <c r="I486" s="145">
        <f t="shared" si="108"/>
        <v>-191.48662226011464</v>
      </c>
      <c r="J486" s="145">
        <f t="shared" si="108"/>
        <v>-113.90402171465634</v>
      </c>
      <c r="K486" s="145">
        <f t="shared" si="108"/>
        <v>-35.730297484090634</v>
      </c>
      <c r="L486" s="145">
        <f t="shared" si="108"/>
        <v>0</v>
      </c>
      <c r="M486" s="145">
        <f t="shared" si="108"/>
        <v>-50.404493956680177</v>
      </c>
      <c r="N486" s="145">
        <f t="shared" si="108"/>
        <v>0</v>
      </c>
      <c r="O486" s="145">
        <f t="shared" si="108"/>
        <v>0</v>
      </c>
      <c r="P486" s="145">
        <f t="shared" si="108"/>
        <v>0</v>
      </c>
      <c r="Q486" s="145">
        <f t="shared" si="108"/>
        <v>0</v>
      </c>
      <c r="R486" s="26" t="s">
        <v>335</v>
      </c>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row>
    <row r="487" spans="1:95" s="8" customFormat="1" ht="15" hidden="1" customHeight="1" outlineLevel="1" x14ac:dyDescent="0.25">
      <c r="A487" s="89"/>
      <c r="B487" s="135" t="s">
        <v>19</v>
      </c>
      <c r="C487" s="141"/>
      <c r="D487" s="145">
        <f t="shared" ref="D487:Q487" si="109">Opening_without_51_54_with_xx*Without_51_54_with_xx_stroke_value</f>
        <v>0</v>
      </c>
      <c r="E487" s="145">
        <f t="shared" si="109"/>
        <v>0</v>
      </c>
      <c r="F487" s="145">
        <f t="shared" si="109"/>
        <v>14.07749181584976</v>
      </c>
      <c r="G487" s="145">
        <f t="shared" si="109"/>
        <v>0</v>
      </c>
      <c r="H487" s="145">
        <f t="shared" si="109"/>
        <v>-6545.8656388466552</v>
      </c>
      <c r="I487" s="145">
        <f t="shared" si="109"/>
        <v>-1110.5285454361863</v>
      </c>
      <c r="J487" s="145">
        <f t="shared" si="109"/>
        <v>-557.36874753921927</v>
      </c>
      <c r="K487" s="145">
        <f t="shared" si="109"/>
        <v>-430.37327364248631</v>
      </c>
      <c r="L487" s="145">
        <f t="shared" si="109"/>
        <v>-324.0080106979604</v>
      </c>
      <c r="M487" s="145">
        <f t="shared" si="109"/>
        <v>-130.09724414626589</v>
      </c>
      <c r="N487" s="145">
        <f t="shared" si="109"/>
        <v>-101.57320626080613</v>
      </c>
      <c r="O487" s="145">
        <f t="shared" si="109"/>
        <v>-233.04310951588178</v>
      </c>
      <c r="P487" s="145">
        <f t="shared" si="109"/>
        <v>0</v>
      </c>
      <c r="Q487" s="145">
        <f t="shared" si="109"/>
        <v>0</v>
      </c>
      <c r="R487" s="26" t="s">
        <v>336</v>
      </c>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row>
    <row r="488" spans="1:95" s="8" customFormat="1" ht="15" hidden="1" customHeight="1" outlineLevel="1" x14ac:dyDescent="0.25">
      <c r="A488" s="89"/>
      <c r="B488" s="135" t="s">
        <v>20</v>
      </c>
      <c r="C488" s="141"/>
      <c r="D488" s="145">
        <f t="shared" ref="D488:Q488" si="110">Opening_without_54_57_with_xx*Without_54_57_with_xx_stroke_value</f>
        <v>0</v>
      </c>
      <c r="E488" s="145">
        <f t="shared" si="110"/>
        <v>0</v>
      </c>
      <c r="F488" s="145">
        <f t="shared" si="110"/>
        <v>0</v>
      </c>
      <c r="G488" s="145">
        <f t="shared" si="110"/>
        <v>28.367781750148019</v>
      </c>
      <c r="H488" s="145">
        <f t="shared" si="110"/>
        <v>0</v>
      </c>
      <c r="I488" s="145">
        <f t="shared" si="110"/>
        <v>-2007.9136047132345</v>
      </c>
      <c r="J488" s="145">
        <f t="shared" si="110"/>
        <v>-200.83439716483082</v>
      </c>
      <c r="K488" s="145">
        <f t="shared" si="110"/>
        <v>-21.599606138628751</v>
      </c>
      <c r="L488" s="145">
        <f t="shared" si="110"/>
        <v>-115.63577856005662</v>
      </c>
      <c r="M488" s="145">
        <f t="shared" si="110"/>
        <v>0</v>
      </c>
      <c r="N488" s="145">
        <f t="shared" si="110"/>
        <v>0</v>
      </c>
      <c r="O488" s="145">
        <f t="shared" si="110"/>
        <v>0</v>
      </c>
      <c r="P488" s="145">
        <f t="shared" si="110"/>
        <v>0</v>
      </c>
      <c r="Q488" s="145">
        <f t="shared" si="110"/>
        <v>0</v>
      </c>
      <c r="R488" s="26" t="s">
        <v>337</v>
      </c>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89"/>
      <c r="CD488" s="89"/>
      <c r="CE488" s="89"/>
      <c r="CF488" s="89"/>
      <c r="CG488" s="89"/>
      <c r="CH488" s="89"/>
      <c r="CI488" s="89"/>
      <c r="CJ488" s="89"/>
      <c r="CK488" s="89"/>
      <c r="CL488" s="89"/>
      <c r="CM488" s="89"/>
      <c r="CN488" s="89"/>
      <c r="CO488" s="89"/>
      <c r="CP488" s="89"/>
      <c r="CQ488" s="89"/>
    </row>
    <row r="489" spans="1:95" s="8" customFormat="1" ht="15" hidden="1" customHeight="1" outlineLevel="1" x14ac:dyDescent="0.25">
      <c r="A489" s="89"/>
      <c r="B489" s="135" t="s">
        <v>21</v>
      </c>
      <c r="C489" s="141"/>
      <c r="D489" s="145">
        <f t="shared" ref="D489:Q489" si="111">Opening_without_57_60_with_xx*Without_57_60_with_xx_stroke_value</f>
        <v>0</v>
      </c>
      <c r="E489" s="145">
        <f t="shared" si="111"/>
        <v>0</v>
      </c>
      <c r="F489" s="145">
        <f t="shared" si="111"/>
        <v>0</v>
      </c>
      <c r="G489" s="145">
        <f t="shared" si="111"/>
        <v>0</v>
      </c>
      <c r="H489" s="145">
        <f t="shared" si="111"/>
        <v>121.47520028514229</v>
      </c>
      <c r="I489" s="145">
        <f t="shared" si="111"/>
        <v>0</v>
      </c>
      <c r="J489" s="145">
        <f t="shared" si="111"/>
        <v>-1137.5548224958015</v>
      </c>
      <c r="K489" s="145">
        <f t="shared" si="111"/>
        <v>-158.99406734041241</v>
      </c>
      <c r="L489" s="145">
        <f t="shared" si="111"/>
        <v>-21.763344623241075</v>
      </c>
      <c r="M489" s="145">
        <f t="shared" si="111"/>
        <v>-58.256405188890426</v>
      </c>
      <c r="N489" s="145">
        <f t="shared" si="111"/>
        <v>0</v>
      </c>
      <c r="O489" s="145">
        <f t="shared" si="111"/>
        <v>0</v>
      </c>
      <c r="P489" s="145">
        <f t="shared" si="111"/>
        <v>0</v>
      </c>
      <c r="Q489" s="145">
        <f t="shared" si="111"/>
        <v>0</v>
      </c>
      <c r="R489" s="26" t="s">
        <v>338</v>
      </c>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89"/>
      <c r="CD489" s="89"/>
      <c r="CE489" s="89"/>
      <c r="CF489" s="89"/>
      <c r="CG489" s="89"/>
      <c r="CH489" s="89"/>
      <c r="CI489" s="89"/>
      <c r="CJ489" s="89"/>
      <c r="CK489" s="89"/>
      <c r="CL489" s="89"/>
      <c r="CM489" s="89"/>
      <c r="CN489" s="89"/>
      <c r="CO489" s="89"/>
      <c r="CP489" s="89"/>
      <c r="CQ489" s="89"/>
    </row>
    <row r="490" spans="1:95" s="8" customFormat="1" ht="15" hidden="1" customHeight="1" outlineLevel="1" x14ac:dyDescent="0.25">
      <c r="A490" s="89"/>
      <c r="B490" s="135" t="s">
        <v>22</v>
      </c>
      <c r="C490" s="141"/>
      <c r="D490" s="145">
        <f t="shared" ref="D490:Q490" si="112">Opening_without_60_63_with_xx*Without_60_63_with_xx_stroke_value</f>
        <v>0</v>
      </c>
      <c r="E490" s="145">
        <f t="shared" si="112"/>
        <v>0</v>
      </c>
      <c r="F490" s="145">
        <f t="shared" si="112"/>
        <v>0</v>
      </c>
      <c r="G490" s="145">
        <f t="shared" si="112"/>
        <v>0</v>
      </c>
      <c r="H490" s="145">
        <f t="shared" si="112"/>
        <v>0</v>
      </c>
      <c r="I490" s="145">
        <f t="shared" si="112"/>
        <v>302.3879907900232</v>
      </c>
      <c r="J490" s="145">
        <f t="shared" si="112"/>
        <v>0</v>
      </c>
      <c r="K490" s="145">
        <f t="shared" si="112"/>
        <v>-1225.9753573670871</v>
      </c>
      <c r="L490" s="145">
        <f t="shared" si="112"/>
        <v>-553.41796115885427</v>
      </c>
      <c r="M490" s="145">
        <f t="shared" si="112"/>
        <v>-21.928488528016093</v>
      </c>
      <c r="N490" s="145">
        <f t="shared" si="112"/>
        <v>0</v>
      </c>
      <c r="O490" s="145">
        <f t="shared" si="112"/>
        <v>0</v>
      </c>
      <c r="P490" s="145">
        <f t="shared" si="112"/>
        <v>0</v>
      </c>
      <c r="Q490" s="145">
        <f t="shared" si="112"/>
        <v>0</v>
      </c>
      <c r="R490" s="26" t="s">
        <v>339</v>
      </c>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89"/>
      <c r="CD490" s="89"/>
      <c r="CE490" s="89"/>
      <c r="CF490" s="89"/>
      <c r="CG490" s="89"/>
      <c r="CH490" s="89"/>
      <c r="CI490" s="89"/>
      <c r="CJ490" s="89"/>
      <c r="CK490" s="89"/>
      <c r="CL490" s="89"/>
      <c r="CM490" s="89"/>
      <c r="CN490" s="89"/>
      <c r="CO490" s="89"/>
      <c r="CP490" s="89"/>
      <c r="CQ490" s="89"/>
    </row>
    <row r="491" spans="1:95" s="8" customFormat="1" ht="15" hidden="1" customHeight="1" outlineLevel="1" x14ac:dyDescent="0.25">
      <c r="A491" s="89"/>
      <c r="B491" s="135" t="s">
        <v>23</v>
      </c>
      <c r="C491" s="141"/>
      <c r="D491" s="145">
        <f t="shared" ref="D491:Q491" si="113">Opening_without_63_66_with_xx*Without_63_66_with_xx_stroke_value</f>
        <v>0</v>
      </c>
      <c r="E491" s="145">
        <f t="shared" si="113"/>
        <v>0</v>
      </c>
      <c r="F491" s="145">
        <f t="shared" si="113"/>
        <v>0</v>
      </c>
      <c r="G491" s="145">
        <f t="shared" si="113"/>
        <v>0</v>
      </c>
      <c r="H491" s="145">
        <f t="shared" si="113"/>
        <v>0</v>
      </c>
      <c r="I491" s="145">
        <f t="shared" si="113"/>
        <v>737.15431221463939</v>
      </c>
      <c r="J491" s="145">
        <f t="shared" si="113"/>
        <v>72.542920554265507</v>
      </c>
      <c r="K491" s="145">
        <f t="shared" si="113"/>
        <v>0</v>
      </c>
      <c r="L491" s="145">
        <f t="shared" si="113"/>
        <v>-986.76069768702939</v>
      </c>
      <c r="M491" s="145">
        <f t="shared" si="113"/>
        <v>-58.696785890358171</v>
      </c>
      <c r="N491" s="145">
        <f t="shared" si="113"/>
        <v>0</v>
      </c>
      <c r="O491" s="145">
        <f t="shared" si="113"/>
        <v>0</v>
      </c>
      <c r="P491" s="145">
        <f t="shared" si="113"/>
        <v>0</v>
      </c>
      <c r="Q491" s="145">
        <f t="shared" si="113"/>
        <v>0</v>
      </c>
      <c r="R491" s="26" t="s">
        <v>340</v>
      </c>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89"/>
      <c r="CD491" s="89"/>
      <c r="CE491" s="89"/>
      <c r="CF491" s="89"/>
      <c r="CG491" s="89"/>
      <c r="CH491" s="89"/>
      <c r="CI491" s="89"/>
      <c r="CJ491" s="89"/>
      <c r="CK491" s="89"/>
      <c r="CL491" s="89"/>
      <c r="CM491" s="89"/>
      <c r="CN491" s="89"/>
      <c r="CO491" s="89"/>
      <c r="CP491" s="89"/>
      <c r="CQ491" s="89"/>
    </row>
    <row r="492" spans="1:95" s="8" customFormat="1" ht="15" hidden="1" customHeight="1" outlineLevel="1" x14ac:dyDescent="0.25">
      <c r="A492" s="89"/>
      <c r="B492" s="135" t="s">
        <v>24</v>
      </c>
      <c r="C492" s="141"/>
      <c r="D492" s="145">
        <f t="shared" ref="D492:Q492" si="114">Opening_without_66_69_with_xx*Without_66_69_with_xx_stroke_value</f>
        <v>0</v>
      </c>
      <c r="E492" s="145">
        <f t="shared" si="114"/>
        <v>0</v>
      </c>
      <c r="F492" s="145">
        <f t="shared" si="114"/>
        <v>0</v>
      </c>
      <c r="G492" s="145">
        <f t="shared" si="114"/>
        <v>0</v>
      </c>
      <c r="H492" s="145">
        <f t="shared" si="114"/>
        <v>0</v>
      </c>
      <c r="I492" s="145">
        <f t="shared" si="114"/>
        <v>0</v>
      </c>
      <c r="J492" s="145">
        <f t="shared" si="114"/>
        <v>0</v>
      </c>
      <c r="K492" s="145">
        <f t="shared" si="114"/>
        <v>321.61089406095772</v>
      </c>
      <c r="L492" s="145">
        <f t="shared" si="114"/>
        <v>0</v>
      </c>
      <c r="M492" s="145">
        <f t="shared" si="114"/>
        <v>-198.85116522251175</v>
      </c>
      <c r="N492" s="145">
        <f t="shared" si="114"/>
        <v>-29.571426105703821</v>
      </c>
      <c r="O492" s="145">
        <f t="shared" si="114"/>
        <v>0</v>
      </c>
      <c r="P492" s="145">
        <f t="shared" si="114"/>
        <v>0</v>
      </c>
      <c r="Q492" s="145">
        <f t="shared" si="114"/>
        <v>0</v>
      </c>
      <c r="R492" s="26" t="s">
        <v>341</v>
      </c>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89"/>
      <c r="CD492" s="89"/>
      <c r="CE492" s="89"/>
      <c r="CF492" s="89"/>
      <c r="CG492" s="89"/>
      <c r="CH492" s="89"/>
      <c r="CI492" s="89"/>
      <c r="CJ492" s="89"/>
      <c r="CK492" s="89"/>
      <c r="CL492" s="89"/>
      <c r="CM492" s="89"/>
      <c r="CN492" s="89"/>
      <c r="CO492" s="89"/>
      <c r="CP492" s="89"/>
      <c r="CQ492" s="89"/>
    </row>
    <row r="493" spans="1:95" s="8" customFormat="1" ht="15" hidden="1" customHeight="1" outlineLevel="1" x14ac:dyDescent="0.25">
      <c r="A493" s="89"/>
      <c r="B493" s="135" t="s">
        <v>25</v>
      </c>
      <c r="C493" s="141"/>
      <c r="D493" s="145">
        <f t="shared" ref="D493:Q493" si="115">Opening_without_69_72_with_xx*Without_69_72_with_xx_stroke_value</f>
        <v>0</v>
      </c>
      <c r="E493" s="145">
        <f t="shared" si="115"/>
        <v>0</v>
      </c>
      <c r="F493" s="145">
        <f t="shared" si="115"/>
        <v>0</v>
      </c>
      <c r="G493" s="145">
        <f t="shared" si="115"/>
        <v>0</v>
      </c>
      <c r="H493" s="145">
        <f t="shared" si="115"/>
        <v>0</v>
      </c>
      <c r="I493" s="145">
        <f t="shared" si="115"/>
        <v>0</v>
      </c>
      <c r="J493" s="145">
        <f t="shared" si="115"/>
        <v>0</v>
      </c>
      <c r="K493" s="145">
        <f t="shared" si="115"/>
        <v>0</v>
      </c>
      <c r="L493" s="145">
        <f t="shared" si="115"/>
        <v>213.58088116492004</v>
      </c>
      <c r="M493" s="145">
        <f t="shared" si="115"/>
        <v>0</v>
      </c>
      <c r="N493" s="145">
        <f t="shared" si="115"/>
        <v>-252.30907277602427</v>
      </c>
      <c r="O493" s="145">
        <f t="shared" si="115"/>
        <v>0</v>
      </c>
      <c r="P493" s="145">
        <f t="shared" si="115"/>
        <v>0</v>
      </c>
      <c r="Q493" s="145">
        <f t="shared" si="115"/>
        <v>0</v>
      </c>
      <c r="R493" s="26" t="s">
        <v>342</v>
      </c>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row>
    <row r="494" spans="1:95" s="8" customFormat="1" ht="15" hidden="1" customHeight="1" outlineLevel="1" x14ac:dyDescent="0.25">
      <c r="A494" s="89"/>
      <c r="B494" s="135" t="s">
        <v>26</v>
      </c>
      <c r="C494" s="141"/>
      <c r="D494" s="145">
        <f t="shared" ref="D494:Q494" si="116">Opening_without_72_75_with_xx*Without_72_75_with_xx_stroke_value</f>
        <v>0</v>
      </c>
      <c r="E494" s="145">
        <f t="shared" si="116"/>
        <v>0</v>
      </c>
      <c r="F494" s="145">
        <f t="shared" si="116"/>
        <v>0</v>
      </c>
      <c r="G494" s="145">
        <f t="shared" si="116"/>
        <v>0</v>
      </c>
      <c r="H494" s="145">
        <f t="shared" si="116"/>
        <v>0</v>
      </c>
      <c r="I494" s="145">
        <f t="shared" si="116"/>
        <v>0</v>
      </c>
      <c r="J494" s="145">
        <f t="shared" si="116"/>
        <v>0</v>
      </c>
      <c r="K494" s="145">
        <f t="shared" si="116"/>
        <v>0</v>
      </c>
      <c r="L494" s="145">
        <f t="shared" si="116"/>
        <v>0</v>
      </c>
      <c r="M494" s="145">
        <f t="shared" si="116"/>
        <v>281.99249310261536</v>
      </c>
      <c r="N494" s="145">
        <f t="shared" si="116"/>
        <v>0</v>
      </c>
      <c r="O494" s="145">
        <f t="shared" si="116"/>
        <v>-52.319219739971672</v>
      </c>
      <c r="P494" s="145">
        <f t="shared" si="116"/>
        <v>-14.960944364229251</v>
      </c>
      <c r="Q494" s="145">
        <f t="shared" si="116"/>
        <v>0</v>
      </c>
      <c r="R494" s="26" t="s">
        <v>343</v>
      </c>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89"/>
      <c r="CD494" s="89"/>
      <c r="CE494" s="89"/>
      <c r="CF494" s="89"/>
      <c r="CG494" s="89"/>
      <c r="CH494" s="89"/>
      <c r="CI494" s="89"/>
      <c r="CJ494" s="89"/>
      <c r="CK494" s="89"/>
      <c r="CL494" s="89"/>
      <c r="CM494" s="89"/>
      <c r="CN494" s="89"/>
      <c r="CO494" s="89"/>
      <c r="CP494" s="89"/>
      <c r="CQ494" s="89"/>
    </row>
    <row r="495" spans="1:95" s="8" customFormat="1" ht="15" hidden="1" customHeight="1" outlineLevel="1" x14ac:dyDescent="0.25">
      <c r="A495" s="89"/>
      <c r="B495" s="135" t="s">
        <v>27</v>
      </c>
      <c r="C495" s="141"/>
      <c r="D495" s="145">
        <f t="shared" ref="D495:Q495" si="117">Opening_without_75_78_with_xx*Without_75_78_with_xx_stroke_value</f>
        <v>0</v>
      </c>
      <c r="E495" s="145">
        <f t="shared" si="117"/>
        <v>0</v>
      </c>
      <c r="F495" s="145">
        <f t="shared" si="117"/>
        <v>0</v>
      </c>
      <c r="G495" s="145">
        <f t="shared" si="117"/>
        <v>0</v>
      </c>
      <c r="H495" s="145">
        <f t="shared" si="117"/>
        <v>0</v>
      </c>
      <c r="I495" s="145">
        <f t="shared" si="117"/>
        <v>0</v>
      </c>
      <c r="J495" s="145">
        <f t="shared" si="117"/>
        <v>0</v>
      </c>
      <c r="K495" s="145">
        <f t="shared" si="117"/>
        <v>0</v>
      </c>
      <c r="L495" s="145">
        <f t="shared" si="117"/>
        <v>0</v>
      </c>
      <c r="M495" s="145">
        <f t="shared" si="117"/>
        <v>0</v>
      </c>
      <c r="N495" s="145">
        <f t="shared" si="117"/>
        <v>29.896696994269526</v>
      </c>
      <c r="O495" s="145">
        <f t="shared" si="117"/>
        <v>0</v>
      </c>
      <c r="P495" s="145">
        <f t="shared" si="117"/>
        <v>0</v>
      </c>
      <c r="Q495" s="145">
        <f t="shared" si="117"/>
        <v>0</v>
      </c>
      <c r="R495" s="26" t="s">
        <v>344</v>
      </c>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89"/>
      <c r="CD495" s="89"/>
      <c r="CE495" s="89"/>
      <c r="CF495" s="89"/>
      <c r="CG495" s="89"/>
      <c r="CH495" s="89"/>
      <c r="CI495" s="89"/>
      <c r="CJ495" s="89"/>
      <c r="CK495" s="89"/>
      <c r="CL495" s="89"/>
      <c r="CM495" s="89"/>
      <c r="CN495" s="89"/>
      <c r="CO495" s="89"/>
      <c r="CP495" s="89"/>
      <c r="CQ495" s="89"/>
    </row>
    <row r="496" spans="1:95" s="8" customFormat="1" ht="15" hidden="1" customHeight="1" outlineLevel="1" x14ac:dyDescent="0.25">
      <c r="A496" s="89"/>
      <c r="B496" s="135" t="s">
        <v>28</v>
      </c>
      <c r="C496" s="141"/>
      <c r="D496" s="145">
        <f t="shared" ref="D496:Q496" si="118">Opening_without_78_81_with_xx*Without_78_81_with_xx_stroke_value</f>
        <v>0</v>
      </c>
      <c r="E496" s="145">
        <f t="shared" si="118"/>
        <v>0</v>
      </c>
      <c r="F496" s="145">
        <f t="shared" si="118"/>
        <v>0</v>
      </c>
      <c r="G496" s="145">
        <f t="shared" si="118"/>
        <v>0</v>
      </c>
      <c r="H496" s="145">
        <f t="shared" si="118"/>
        <v>0</v>
      </c>
      <c r="I496" s="145">
        <f t="shared" si="118"/>
        <v>0</v>
      </c>
      <c r="J496" s="145">
        <f t="shared" si="118"/>
        <v>0</v>
      </c>
      <c r="K496" s="145">
        <f t="shared" si="118"/>
        <v>0</v>
      </c>
      <c r="L496" s="145">
        <f t="shared" si="118"/>
        <v>0</v>
      </c>
      <c r="M496" s="145">
        <f t="shared" si="118"/>
        <v>0</v>
      </c>
      <c r="N496" s="145">
        <f t="shared" si="118"/>
        <v>0</v>
      </c>
      <c r="O496" s="145">
        <f t="shared" si="118"/>
        <v>0</v>
      </c>
      <c r="P496" s="145">
        <f t="shared" si="118"/>
        <v>0</v>
      </c>
      <c r="Q496" s="145">
        <f t="shared" si="118"/>
        <v>0</v>
      </c>
      <c r="R496" s="26" t="s">
        <v>345</v>
      </c>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89"/>
      <c r="CD496" s="89"/>
      <c r="CE496" s="89"/>
      <c r="CF496" s="89"/>
      <c r="CG496" s="89"/>
      <c r="CH496" s="89"/>
      <c r="CI496" s="89"/>
      <c r="CJ496" s="89"/>
      <c r="CK496" s="89"/>
      <c r="CL496" s="89"/>
      <c r="CM496" s="89"/>
      <c r="CN496" s="89"/>
      <c r="CO496" s="89"/>
      <c r="CP496" s="89"/>
      <c r="CQ496" s="89"/>
    </row>
    <row r="497" spans="1:95" s="8" customFormat="1" ht="15" hidden="1" customHeight="1" outlineLevel="1" x14ac:dyDescent="0.25">
      <c r="A497" s="89"/>
      <c r="B497" s="135" t="s">
        <v>29</v>
      </c>
      <c r="C497" s="142"/>
      <c r="D497" s="145">
        <f t="shared" ref="D497:Q497" si="119">Opening_without_81_with_xx*Without_81_with_xx_stroke_value</f>
        <v>0</v>
      </c>
      <c r="E497" s="145">
        <f t="shared" si="119"/>
        <v>0</v>
      </c>
      <c r="F497" s="145">
        <f t="shared" si="119"/>
        <v>0</v>
      </c>
      <c r="G497" s="145">
        <f t="shared" si="119"/>
        <v>0</v>
      </c>
      <c r="H497" s="145">
        <f t="shared" si="119"/>
        <v>0</v>
      </c>
      <c r="I497" s="145">
        <f t="shared" si="119"/>
        <v>0</v>
      </c>
      <c r="J497" s="145">
        <f t="shared" si="119"/>
        <v>0</v>
      </c>
      <c r="K497" s="145">
        <f t="shared" si="119"/>
        <v>0</v>
      </c>
      <c r="L497" s="145">
        <f t="shared" si="119"/>
        <v>0</v>
      </c>
      <c r="M497" s="145">
        <f t="shared" si="119"/>
        <v>0</v>
      </c>
      <c r="N497" s="145">
        <f t="shared" si="119"/>
        <v>0</v>
      </c>
      <c r="O497" s="145">
        <f t="shared" si="119"/>
        <v>0</v>
      </c>
      <c r="P497" s="145">
        <f t="shared" si="119"/>
        <v>0</v>
      </c>
      <c r="Q497" s="145">
        <f t="shared" si="119"/>
        <v>0</v>
      </c>
      <c r="R497" s="26" t="s">
        <v>346</v>
      </c>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89"/>
      <c r="CD497" s="89"/>
      <c r="CE497" s="89"/>
      <c r="CF497" s="89"/>
      <c r="CG497" s="89"/>
      <c r="CH497" s="89"/>
      <c r="CI497" s="89"/>
      <c r="CJ497" s="89"/>
      <c r="CK497" s="89"/>
      <c r="CL497" s="89"/>
      <c r="CM497" s="89"/>
      <c r="CN497" s="89"/>
      <c r="CO497" s="89"/>
      <c r="CP497" s="89"/>
      <c r="CQ497" s="89"/>
    </row>
    <row r="498" spans="1:95" s="8" customFormat="1" ht="15" hidden="1" customHeight="1" outlineLevel="1" x14ac:dyDescent="0.25">
      <c r="A498" s="89"/>
      <c r="B498" s="133"/>
      <c r="C498" s="133"/>
      <c r="D498" s="133"/>
      <c r="E498" s="133"/>
      <c r="F498" s="133"/>
      <c r="G498" s="133"/>
      <c r="H498" s="133"/>
      <c r="I498" s="133"/>
      <c r="J498" s="133"/>
      <c r="K498" s="133"/>
      <c r="L498" s="133"/>
      <c r="M498" s="133"/>
      <c r="N498" s="133"/>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89"/>
      <c r="CD498" s="89"/>
      <c r="CE498" s="89"/>
      <c r="CF498" s="89"/>
      <c r="CG498" s="89"/>
      <c r="CH498" s="89"/>
      <c r="CI498" s="89"/>
      <c r="CJ498" s="89"/>
      <c r="CK498" s="89"/>
      <c r="CL498" s="89"/>
      <c r="CM498" s="89"/>
      <c r="CN498" s="89"/>
      <c r="CO498" s="89"/>
      <c r="CP498" s="89"/>
      <c r="CQ498" s="89"/>
    </row>
    <row r="499" spans="1:95" s="8" customFormat="1" ht="15" hidden="1" customHeight="1" outlineLevel="1" x14ac:dyDescent="0.25">
      <c r="A499" s="89"/>
      <c r="B499" s="143" t="s">
        <v>347</v>
      </c>
      <c r="C499" s="144">
        <f>SUM(Opening_without_45_with_xx_stroke_cost,Opening_without_45_48_with_xx_stroke_cost,Opening_without_48_51_with_xx_stroke_cost,Opening_without_51_54_with_xx_stroke_cost,Opening_without_54_57_with_xx_stroke_cost,Opening_without_57_60_with_xx_stroke_cost,Opening_without_60_63_with_xx_stroke_cost,Opening_without_63_66_with_xx_stroke_cost,Opening_without_66_69_with_xx_stroke_cost,Opening_without_69_72_with_xx_stroke_cost,Opening_without_72_75_with_xx_stroke_cost,Opening_without_75_78_with_xx_stroke_cost,Opening_without_78_81_with_xx_stroke_cost,Opening_without_81_with_xx_stroke_cost)</f>
        <v>-34575.643382294853</v>
      </c>
      <c r="D499" s="30" t="s">
        <v>348</v>
      </c>
      <c r="E499" s="133"/>
      <c r="F499" s="133"/>
      <c r="G499" s="133"/>
      <c r="H499" s="133"/>
      <c r="I499" s="133"/>
      <c r="J499" s="133"/>
      <c r="K499" s="133"/>
      <c r="L499" s="133"/>
      <c r="M499" s="133"/>
      <c r="N499" s="133"/>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89"/>
      <c r="CD499" s="89"/>
      <c r="CE499" s="89"/>
      <c r="CF499" s="89"/>
      <c r="CG499" s="89"/>
      <c r="CH499" s="89"/>
      <c r="CI499" s="89"/>
      <c r="CJ499" s="89"/>
      <c r="CK499" s="89"/>
      <c r="CL499" s="89"/>
      <c r="CM499" s="89"/>
      <c r="CN499" s="89"/>
      <c r="CO499" s="89"/>
      <c r="CP499" s="89"/>
      <c r="CQ499" s="89"/>
    </row>
    <row r="500" spans="1:95" s="8" customFormat="1" ht="15" hidden="1" customHeight="1" outlineLevel="1" x14ac:dyDescent="0.25">
      <c r="A500" s="89"/>
      <c r="B500" s="133"/>
      <c r="C500" s="133"/>
      <c r="D500" s="133"/>
      <c r="E500" s="133"/>
      <c r="F500" s="133"/>
      <c r="G500" s="133"/>
      <c r="H500" s="133"/>
      <c r="I500" s="133"/>
      <c r="J500" s="133"/>
      <c r="K500" s="133"/>
      <c r="L500" s="133"/>
      <c r="M500" s="133"/>
      <c r="N500" s="133"/>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row>
    <row r="501" spans="1:95" s="29" customFormat="1" ht="15.75" hidden="1" outlineLevel="1" x14ac:dyDescent="0.25">
      <c r="B501" s="29" t="s">
        <v>349</v>
      </c>
    </row>
    <row r="502" spans="1:95" s="8" customFormat="1" ht="15" hidden="1" customHeight="1" outlineLevel="1" x14ac:dyDescent="0.25">
      <c r="A502" s="89"/>
      <c r="B502" s="133"/>
      <c r="C502" s="133"/>
      <c r="D502" s="133"/>
      <c r="E502" s="133"/>
      <c r="F502" s="133"/>
      <c r="G502" s="133"/>
      <c r="H502" s="133"/>
      <c r="I502" s="133"/>
      <c r="J502" s="133"/>
      <c r="K502" s="133"/>
      <c r="L502" s="133"/>
      <c r="M502" s="133"/>
      <c r="N502" s="133"/>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89"/>
      <c r="CD502" s="89"/>
      <c r="CE502" s="89"/>
      <c r="CF502" s="89"/>
      <c r="CG502" s="89"/>
      <c r="CH502" s="89"/>
      <c r="CI502" s="89"/>
      <c r="CJ502" s="89"/>
      <c r="CK502" s="89"/>
      <c r="CL502" s="89"/>
      <c r="CM502" s="89"/>
      <c r="CN502" s="89"/>
      <c r="CO502" s="89"/>
      <c r="CP502" s="89"/>
      <c r="CQ502" s="89"/>
    </row>
    <row r="503" spans="1:95" s="8" customFormat="1" ht="15" hidden="1" customHeight="1" outlineLevel="1" x14ac:dyDescent="0.25">
      <c r="A503" s="89"/>
      <c r="B503" s="134"/>
      <c r="C503" s="91" t="s">
        <v>15</v>
      </c>
      <c r="D503" s="92" t="s">
        <v>16</v>
      </c>
      <c r="E503" s="135" t="s">
        <v>17</v>
      </c>
      <c r="F503" s="135" t="s">
        <v>18</v>
      </c>
      <c r="G503" s="135" t="s">
        <v>19</v>
      </c>
      <c r="H503" s="135" t="s">
        <v>20</v>
      </c>
      <c r="I503" s="135" t="s">
        <v>21</v>
      </c>
      <c r="J503" s="135" t="s">
        <v>22</v>
      </c>
      <c r="K503" s="135" t="s">
        <v>23</v>
      </c>
      <c r="L503" s="135" t="s">
        <v>24</v>
      </c>
      <c r="M503" s="135" t="s">
        <v>25</v>
      </c>
      <c r="N503" s="135" t="s">
        <v>26</v>
      </c>
      <c r="O503" s="135" t="s">
        <v>27</v>
      </c>
      <c r="P503" s="135" t="s">
        <v>28</v>
      </c>
      <c r="Q503" s="135" t="s">
        <v>29</v>
      </c>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89"/>
      <c r="CD503" s="89"/>
      <c r="CE503" s="89"/>
      <c r="CF503" s="89"/>
      <c r="CG503" s="89"/>
      <c r="CH503" s="89"/>
      <c r="CI503" s="89"/>
      <c r="CJ503" s="89"/>
      <c r="CK503" s="89"/>
      <c r="CL503" s="89"/>
      <c r="CM503" s="89"/>
      <c r="CN503" s="89"/>
      <c r="CO503" s="89"/>
      <c r="CP503" s="89"/>
      <c r="CQ503" s="89"/>
    </row>
    <row r="504" spans="1:95" s="8" customFormat="1" ht="15" hidden="1" customHeight="1" outlineLevel="1" x14ac:dyDescent="0.25">
      <c r="A504" s="89"/>
      <c r="B504" s="91" t="s">
        <v>30</v>
      </c>
      <c r="C504" s="136"/>
      <c r="D504" s="137"/>
      <c r="E504" s="138"/>
      <c r="F504" s="138"/>
      <c r="G504" s="138"/>
      <c r="H504" s="138"/>
      <c r="I504" s="138"/>
      <c r="J504" s="138"/>
      <c r="K504" s="138"/>
      <c r="L504" s="138"/>
      <c r="M504" s="138"/>
      <c r="N504" s="138"/>
      <c r="O504" s="138"/>
      <c r="P504" s="138"/>
      <c r="Q504" s="136"/>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89"/>
      <c r="CD504" s="89"/>
      <c r="CE504" s="89"/>
      <c r="CF504" s="89"/>
      <c r="CG504" s="89"/>
      <c r="CH504" s="89"/>
      <c r="CI504" s="89"/>
      <c r="CJ504" s="89"/>
      <c r="CK504" s="89"/>
      <c r="CL504" s="89"/>
      <c r="CM504" s="89"/>
      <c r="CN504" s="89"/>
      <c r="CO504" s="89"/>
      <c r="CP504" s="89"/>
      <c r="CQ504" s="89"/>
    </row>
    <row r="505" spans="1:95" s="8" customFormat="1" ht="15" hidden="1" customHeight="1" outlineLevel="1" x14ac:dyDescent="0.25">
      <c r="A505" s="89"/>
      <c r="B505" s="92" t="s">
        <v>16</v>
      </c>
      <c r="C505" s="139"/>
      <c r="D505" s="140">
        <f t="shared" ref="D505:Q505" si="120">Forecast_without_45_with_xx*Without_45_with_xx_stroke_value</f>
        <v>0</v>
      </c>
      <c r="E505" s="140">
        <f t="shared" si="120"/>
        <v>0</v>
      </c>
      <c r="F505" s="140">
        <f t="shared" si="120"/>
        <v>0</v>
      </c>
      <c r="G505" s="140">
        <f t="shared" si="120"/>
        <v>0</v>
      </c>
      <c r="H505" s="140">
        <f t="shared" si="120"/>
        <v>0</v>
      </c>
      <c r="I505" s="140">
        <f t="shared" si="120"/>
        <v>0</v>
      </c>
      <c r="J505" s="140">
        <f t="shared" si="120"/>
        <v>0</v>
      </c>
      <c r="K505" s="140">
        <f t="shared" si="120"/>
        <v>0</v>
      </c>
      <c r="L505" s="140">
        <f t="shared" si="120"/>
        <v>0</v>
      </c>
      <c r="M505" s="140">
        <f t="shared" si="120"/>
        <v>0</v>
      </c>
      <c r="N505" s="140">
        <f t="shared" si="120"/>
        <v>0</v>
      </c>
      <c r="O505" s="140">
        <f t="shared" si="120"/>
        <v>0</v>
      </c>
      <c r="P505" s="140">
        <f t="shared" si="120"/>
        <v>0</v>
      </c>
      <c r="Q505" s="140">
        <f t="shared" si="120"/>
        <v>0</v>
      </c>
      <c r="R505" s="26" t="s">
        <v>350</v>
      </c>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89"/>
      <c r="CD505" s="89"/>
      <c r="CE505" s="89"/>
      <c r="CF505" s="89"/>
      <c r="CG505" s="89"/>
      <c r="CH505" s="89"/>
      <c r="CI505" s="89"/>
      <c r="CJ505" s="89"/>
      <c r="CK505" s="89"/>
      <c r="CL505" s="89"/>
      <c r="CM505" s="89"/>
      <c r="CN505" s="89"/>
      <c r="CO505" s="89"/>
      <c r="CP505" s="89"/>
      <c r="CQ505" s="89"/>
    </row>
    <row r="506" spans="1:95" s="8" customFormat="1" ht="15" hidden="1" customHeight="1" outlineLevel="1" x14ac:dyDescent="0.25">
      <c r="A506" s="89"/>
      <c r="B506" s="135" t="s">
        <v>17</v>
      </c>
      <c r="C506" s="141"/>
      <c r="D506" s="140">
        <f t="shared" ref="D506:Q506" si="121">Forecast_without_45_48_with_xx*Without_45_48_with_xx_stroke_value</f>
        <v>0</v>
      </c>
      <c r="E506" s="140">
        <f t="shared" si="121"/>
        <v>0</v>
      </c>
      <c r="F506" s="140">
        <f t="shared" si="121"/>
        <v>-4934.6523044583173</v>
      </c>
      <c r="G506" s="140">
        <f t="shared" si="121"/>
        <v>-630.37430263880026</v>
      </c>
      <c r="H506" s="140">
        <f t="shared" si="121"/>
        <v>-918.00944770598414</v>
      </c>
      <c r="I506" s="140">
        <f t="shared" si="121"/>
        <v>-731.76283280203768</v>
      </c>
      <c r="J506" s="140">
        <f t="shared" si="121"/>
        <v>-34.302041207245338</v>
      </c>
      <c r="K506" s="140">
        <f t="shared" si="121"/>
        <v>0</v>
      </c>
      <c r="L506" s="140">
        <f t="shared" si="121"/>
        <v>0</v>
      </c>
      <c r="M506" s="140">
        <f t="shared" si="121"/>
        <v>0</v>
      </c>
      <c r="N506" s="140">
        <f t="shared" si="121"/>
        <v>0</v>
      </c>
      <c r="O506" s="140">
        <f t="shared" si="121"/>
        <v>0</v>
      </c>
      <c r="P506" s="140">
        <f t="shared" si="121"/>
        <v>0</v>
      </c>
      <c r="Q506" s="140">
        <f t="shared" si="121"/>
        <v>0</v>
      </c>
      <c r="R506" s="26" t="s">
        <v>351</v>
      </c>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89"/>
      <c r="CD506" s="89"/>
      <c r="CE506" s="89"/>
      <c r="CF506" s="89"/>
      <c r="CG506" s="89"/>
      <c r="CH506" s="89"/>
      <c r="CI506" s="89"/>
      <c r="CJ506" s="89"/>
      <c r="CK506" s="89"/>
      <c r="CL506" s="89"/>
      <c r="CM506" s="89"/>
      <c r="CN506" s="89"/>
      <c r="CO506" s="89"/>
      <c r="CP506" s="89"/>
      <c r="CQ506" s="89"/>
    </row>
    <row r="507" spans="1:95" s="8" customFormat="1" ht="15" hidden="1" customHeight="1" outlineLevel="1" x14ac:dyDescent="0.25">
      <c r="A507" s="89"/>
      <c r="B507" s="135" t="s">
        <v>18</v>
      </c>
      <c r="C507" s="141"/>
      <c r="D507" s="140">
        <f t="shared" ref="D507:Q507" si="122">Forecast_without_48_51_with_xx*Without_48_51_with_xx_stroke_value</f>
        <v>0</v>
      </c>
      <c r="E507" s="140">
        <f t="shared" si="122"/>
        <v>0</v>
      </c>
      <c r="F507" s="140">
        <f t="shared" si="122"/>
        <v>0</v>
      </c>
      <c r="G507" s="140">
        <f t="shared" si="122"/>
        <v>-8474.6500731415545</v>
      </c>
      <c r="H507" s="140">
        <f t="shared" si="122"/>
        <v>-1836.9898749100448</v>
      </c>
      <c r="I507" s="140">
        <f t="shared" si="122"/>
        <v>-127.65774817340977</v>
      </c>
      <c r="J507" s="140">
        <f t="shared" si="122"/>
        <v>-28.476005428664084</v>
      </c>
      <c r="K507" s="140">
        <f t="shared" si="122"/>
        <v>-71.460594968181269</v>
      </c>
      <c r="L507" s="140">
        <f t="shared" si="122"/>
        <v>0</v>
      </c>
      <c r="M507" s="140">
        <f t="shared" si="122"/>
        <v>-100.80898791336035</v>
      </c>
      <c r="N507" s="140">
        <f t="shared" si="122"/>
        <v>0</v>
      </c>
      <c r="O507" s="140">
        <f t="shared" si="122"/>
        <v>0</v>
      </c>
      <c r="P507" s="140">
        <f t="shared" si="122"/>
        <v>0</v>
      </c>
      <c r="Q507" s="140">
        <f t="shared" si="122"/>
        <v>0</v>
      </c>
      <c r="R507" s="26" t="s">
        <v>352</v>
      </c>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89"/>
      <c r="CD507" s="89"/>
      <c r="CE507" s="89"/>
      <c r="CF507" s="89"/>
      <c r="CG507" s="89"/>
      <c r="CH507" s="89"/>
      <c r="CI507" s="89"/>
      <c r="CJ507" s="89"/>
      <c r="CK507" s="89"/>
      <c r="CL507" s="89"/>
      <c r="CM507" s="89"/>
      <c r="CN507" s="89"/>
      <c r="CO507" s="89"/>
      <c r="CP507" s="89"/>
      <c r="CQ507" s="89"/>
    </row>
    <row r="508" spans="1:95" s="8" customFormat="1" ht="15" hidden="1" customHeight="1" outlineLevel="1" x14ac:dyDescent="0.25">
      <c r="A508" s="89"/>
      <c r="B508" s="135" t="s">
        <v>19</v>
      </c>
      <c r="C508" s="141"/>
      <c r="D508" s="140">
        <f t="shared" ref="D508:Q508" si="123">Forecast_without_51_54_with_xx*Without_51_54_with_xx_stroke_value</f>
        <v>0</v>
      </c>
      <c r="E508" s="140">
        <f t="shared" si="123"/>
        <v>0</v>
      </c>
      <c r="F508" s="140">
        <f t="shared" si="123"/>
        <v>21.116237723774638</v>
      </c>
      <c r="G508" s="140">
        <f t="shared" si="123"/>
        <v>0</v>
      </c>
      <c r="H508" s="140">
        <f t="shared" si="123"/>
        <v>-6347.291166595619</v>
      </c>
      <c r="I508" s="140">
        <f t="shared" si="123"/>
        <v>-1139.0036363448064</v>
      </c>
      <c r="J508" s="140">
        <f t="shared" si="123"/>
        <v>-600.24326658069776</v>
      </c>
      <c r="K508" s="140">
        <f t="shared" si="123"/>
        <v>-516.44792837098362</v>
      </c>
      <c r="L508" s="140">
        <f t="shared" si="123"/>
        <v>-396.00979085306273</v>
      </c>
      <c r="M508" s="140">
        <f t="shared" si="123"/>
        <v>-86.731496097510586</v>
      </c>
      <c r="N508" s="140">
        <f t="shared" si="123"/>
        <v>-101.57320626080613</v>
      </c>
      <c r="O508" s="140">
        <f t="shared" si="123"/>
        <v>-233.04310951588178</v>
      </c>
      <c r="P508" s="140">
        <f t="shared" si="123"/>
        <v>0</v>
      </c>
      <c r="Q508" s="140">
        <f t="shared" si="123"/>
        <v>0</v>
      </c>
      <c r="R508" s="26" t="s">
        <v>353</v>
      </c>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89"/>
      <c r="CD508" s="89"/>
      <c r="CE508" s="89"/>
      <c r="CF508" s="89"/>
      <c r="CG508" s="89"/>
      <c r="CH508" s="89"/>
      <c r="CI508" s="89"/>
      <c r="CJ508" s="89"/>
      <c r="CK508" s="89"/>
      <c r="CL508" s="89"/>
      <c r="CM508" s="89"/>
      <c r="CN508" s="89"/>
      <c r="CO508" s="89"/>
      <c r="CP508" s="89"/>
      <c r="CQ508" s="89"/>
    </row>
    <row r="509" spans="1:95" s="8" customFormat="1" ht="15" hidden="1" customHeight="1" outlineLevel="1" x14ac:dyDescent="0.25">
      <c r="A509" s="89"/>
      <c r="B509" s="135" t="s">
        <v>20</v>
      </c>
      <c r="C509" s="141"/>
      <c r="D509" s="140">
        <f t="shared" ref="D509:Q509" si="124">Forecast_without_54_57_with_xx*Without_54_57_with_xx_stroke_value</f>
        <v>0</v>
      </c>
      <c r="E509" s="140">
        <f t="shared" si="124"/>
        <v>0</v>
      </c>
      <c r="F509" s="140">
        <f t="shared" si="124"/>
        <v>0</v>
      </c>
      <c r="G509" s="140">
        <f t="shared" si="124"/>
        <v>42.551672625222025</v>
      </c>
      <c r="H509" s="140">
        <f t="shared" si="124"/>
        <v>0</v>
      </c>
      <c r="I509" s="140">
        <f t="shared" si="124"/>
        <v>-1764.9632041429497</v>
      </c>
      <c r="J509" s="140">
        <f t="shared" si="124"/>
        <v>-229.52502533123521</v>
      </c>
      <c r="K509" s="140">
        <f t="shared" si="124"/>
        <v>0</v>
      </c>
      <c r="L509" s="140">
        <f t="shared" si="124"/>
        <v>-28.908944640014155</v>
      </c>
      <c r="M509" s="140">
        <f t="shared" si="124"/>
        <v>-72.547605222436587</v>
      </c>
      <c r="N509" s="140">
        <f t="shared" si="124"/>
        <v>0</v>
      </c>
      <c r="O509" s="140">
        <f t="shared" si="124"/>
        <v>0</v>
      </c>
      <c r="P509" s="140">
        <f t="shared" si="124"/>
        <v>0</v>
      </c>
      <c r="Q509" s="140">
        <f t="shared" si="124"/>
        <v>0</v>
      </c>
      <c r="R509" s="26" t="s">
        <v>354</v>
      </c>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89"/>
      <c r="CD509" s="89"/>
      <c r="CE509" s="89"/>
      <c r="CF509" s="89"/>
      <c r="CG509" s="89"/>
      <c r="CH509" s="89"/>
      <c r="CI509" s="89"/>
      <c r="CJ509" s="89"/>
      <c r="CK509" s="89"/>
      <c r="CL509" s="89"/>
      <c r="CM509" s="89"/>
      <c r="CN509" s="89"/>
      <c r="CO509" s="89"/>
      <c r="CP509" s="89"/>
      <c r="CQ509" s="89"/>
    </row>
    <row r="510" spans="1:95" s="8" customFormat="1" ht="15" hidden="1" customHeight="1" outlineLevel="1" x14ac:dyDescent="0.25">
      <c r="A510" s="89"/>
      <c r="B510" s="135" t="s">
        <v>21</v>
      </c>
      <c r="C510" s="141"/>
      <c r="D510" s="140">
        <f t="shared" ref="D510:Q510" si="125">Forecast_without_57_60_with_xx*Without_57_60_with_xx_stroke_value</f>
        <v>0</v>
      </c>
      <c r="E510" s="140">
        <f t="shared" si="125"/>
        <v>0</v>
      </c>
      <c r="F510" s="140">
        <f t="shared" si="125"/>
        <v>0</v>
      </c>
      <c r="G510" s="140">
        <f t="shared" si="125"/>
        <v>0</v>
      </c>
      <c r="H510" s="140">
        <f t="shared" si="125"/>
        <v>228.65920053673844</v>
      </c>
      <c r="I510" s="140">
        <f t="shared" si="125"/>
        <v>0</v>
      </c>
      <c r="J510" s="140">
        <f t="shared" si="125"/>
        <v>-993.56054116721907</v>
      </c>
      <c r="K510" s="140">
        <f t="shared" si="125"/>
        <v>-130.08605509670107</v>
      </c>
      <c r="L510" s="140">
        <f t="shared" si="125"/>
        <v>-43.52668924648215</v>
      </c>
      <c r="M510" s="140">
        <f t="shared" si="125"/>
        <v>-58.256405188890426</v>
      </c>
      <c r="N510" s="140">
        <f t="shared" si="125"/>
        <v>0</v>
      </c>
      <c r="O510" s="140">
        <f t="shared" si="125"/>
        <v>0</v>
      </c>
      <c r="P510" s="140">
        <f t="shared" si="125"/>
        <v>0</v>
      </c>
      <c r="Q510" s="140">
        <f t="shared" si="125"/>
        <v>0</v>
      </c>
      <c r="R510" s="26" t="s">
        <v>355</v>
      </c>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89"/>
      <c r="CD510" s="89"/>
      <c r="CE510" s="89"/>
      <c r="CF510" s="89"/>
      <c r="CG510" s="89"/>
      <c r="CH510" s="89"/>
      <c r="CI510" s="89"/>
      <c r="CJ510" s="89"/>
      <c r="CK510" s="89"/>
      <c r="CL510" s="89"/>
      <c r="CM510" s="89"/>
      <c r="CN510" s="89"/>
      <c r="CO510" s="89"/>
      <c r="CP510" s="89"/>
      <c r="CQ510" s="89"/>
    </row>
    <row r="511" spans="1:95" s="8" customFormat="1" ht="15" hidden="1" customHeight="1" outlineLevel="1" x14ac:dyDescent="0.25">
      <c r="A511" s="89"/>
      <c r="B511" s="135" t="s">
        <v>22</v>
      </c>
      <c r="C511" s="141"/>
      <c r="D511" s="140">
        <f t="shared" ref="D511:Q511" si="126">Forecast_without_60_63_with_xx*Without_60_63_with_xx_stroke_value</f>
        <v>0</v>
      </c>
      <c r="E511" s="140">
        <f t="shared" si="126"/>
        <v>0</v>
      </c>
      <c r="F511" s="140">
        <f t="shared" si="126"/>
        <v>0</v>
      </c>
      <c r="G511" s="140">
        <f t="shared" si="126"/>
        <v>0</v>
      </c>
      <c r="H511" s="140">
        <f t="shared" si="126"/>
        <v>0</v>
      </c>
      <c r="I511" s="140">
        <f t="shared" si="126"/>
        <v>575.9771253143299</v>
      </c>
      <c r="J511" s="140">
        <f t="shared" si="126"/>
        <v>0</v>
      </c>
      <c r="K511" s="140">
        <f t="shared" si="126"/>
        <v>-1189.7038970899544</v>
      </c>
      <c r="L511" s="140">
        <f t="shared" si="126"/>
        <v>-262.14535002261516</v>
      </c>
      <c r="M511" s="140">
        <f t="shared" si="126"/>
        <v>-21.928488528016093</v>
      </c>
      <c r="N511" s="140">
        <f t="shared" si="126"/>
        <v>0</v>
      </c>
      <c r="O511" s="140">
        <f t="shared" si="126"/>
        <v>0</v>
      </c>
      <c r="P511" s="140">
        <f t="shared" si="126"/>
        <v>0</v>
      </c>
      <c r="Q511" s="140">
        <f t="shared" si="126"/>
        <v>0</v>
      </c>
      <c r="R511" s="26" t="s">
        <v>356</v>
      </c>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89"/>
      <c r="CD511" s="89"/>
      <c r="CE511" s="89"/>
      <c r="CF511" s="89"/>
      <c r="CG511" s="89"/>
      <c r="CH511" s="89"/>
      <c r="CI511" s="89"/>
      <c r="CJ511" s="89"/>
      <c r="CK511" s="89"/>
      <c r="CL511" s="89"/>
      <c r="CM511" s="89"/>
      <c r="CN511" s="89"/>
      <c r="CO511" s="89"/>
      <c r="CP511" s="89"/>
      <c r="CQ511" s="89"/>
    </row>
    <row r="512" spans="1:95" s="8" customFormat="1" ht="15" hidden="1" customHeight="1" outlineLevel="1" x14ac:dyDescent="0.25">
      <c r="A512" s="89"/>
      <c r="B512" s="135" t="s">
        <v>23</v>
      </c>
      <c r="C512" s="141"/>
      <c r="D512" s="140">
        <f t="shared" ref="D512:Q512" si="127">Forecast_without_63_66_with_xx*Without_63_66_with_xx_stroke_value</f>
        <v>0</v>
      </c>
      <c r="E512" s="140">
        <f t="shared" si="127"/>
        <v>0</v>
      </c>
      <c r="F512" s="140">
        <f t="shared" si="127"/>
        <v>0</v>
      </c>
      <c r="G512" s="140">
        <f t="shared" si="127"/>
        <v>0</v>
      </c>
      <c r="H512" s="140">
        <f t="shared" si="127"/>
        <v>0</v>
      </c>
      <c r="I512" s="140">
        <f t="shared" si="127"/>
        <v>751.60831833649502</v>
      </c>
      <c r="J512" s="140">
        <f t="shared" si="127"/>
        <v>50.780044387985853</v>
      </c>
      <c r="K512" s="140">
        <f t="shared" si="127"/>
        <v>0</v>
      </c>
      <c r="L512" s="140">
        <f t="shared" si="127"/>
        <v>-1067.1634212022689</v>
      </c>
      <c r="M512" s="140">
        <f t="shared" si="127"/>
        <v>-58.696785890358171</v>
      </c>
      <c r="N512" s="140">
        <f t="shared" si="127"/>
        <v>0</v>
      </c>
      <c r="O512" s="140">
        <f t="shared" si="127"/>
        <v>0</v>
      </c>
      <c r="P512" s="140">
        <f t="shared" si="127"/>
        <v>0</v>
      </c>
      <c r="Q512" s="140">
        <f t="shared" si="127"/>
        <v>0</v>
      </c>
      <c r="R512" s="26" t="s">
        <v>357</v>
      </c>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89"/>
      <c r="CD512" s="89"/>
      <c r="CE512" s="89"/>
      <c r="CF512" s="89"/>
      <c r="CG512" s="89"/>
      <c r="CH512" s="89"/>
      <c r="CI512" s="89"/>
      <c r="CJ512" s="89"/>
      <c r="CK512" s="89"/>
      <c r="CL512" s="89"/>
      <c r="CM512" s="89"/>
      <c r="CN512" s="89"/>
      <c r="CO512" s="89"/>
      <c r="CP512" s="89"/>
      <c r="CQ512" s="89"/>
    </row>
    <row r="513" spans="1:95" s="8" customFormat="1" ht="15" hidden="1" customHeight="1" outlineLevel="1" x14ac:dyDescent="0.25">
      <c r="A513" s="89"/>
      <c r="B513" s="135" t="s">
        <v>24</v>
      </c>
      <c r="C513" s="141"/>
      <c r="D513" s="140">
        <f t="shared" ref="D513:Q513" si="128">Forecast_without_66_69_with_xx*Without_66_69_with_xx_stroke_value</f>
        <v>0</v>
      </c>
      <c r="E513" s="140">
        <f t="shared" si="128"/>
        <v>0</v>
      </c>
      <c r="F513" s="140">
        <f t="shared" si="128"/>
        <v>0</v>
      </c>
      <c r="G513" s="140">
        <f t="shared" si="128"/>
        <v>0</v>
      </c>
      <c r="H513" s="140">
        <f t="shared" si="128"/>
        <v>0</v>
      </c>
      <c r="I513" s="140">
        <f t="shared" si="128"/>
        <v>0</v>
      </c>
      <c r="J513" s="140">
        <f t="shared" si="128"/>
        <v>0</v>
      </c>
      <c r="K513" s="140">
        <f t="shared" si="128"/>
        <v>460.48832558728037</v>
      </c>
      <c r="L513" s="140">
        <f t="shared" si="128"/>
        <v>0</v>
      </c>
      <c r="M513" s="140">
        <f t="shared" si="128"/>
        <v>-198.85116522251175</v>
      </c>
      <c r="N513" s="140">
        <f t="shared" si="128"/>
        <v>-29.571426105703821</v>
      </c>
      <c r="O513" s="140">
        <f t="shared" si="128"/>
        <v>0</v>
      </c>
      <c r="P513" s="140">
        <f t="shared" si="128"/>
        <v>0</v>
      </c>
      <c r="Q513" s="140">
        <f t="shared" si="128"/>
        <v>0</v>
      </c>
      <c r="R513" s="26" t="s">
        <v>358</v>
      </c>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89"/>
      <c r="CD513" s="89"/>
      <c r="CE513" s="89"/>
      <c r="CF513" s="89"/>
      <c r="CG513" s="89"/>
      <c r="CH513" s="89"/>
      <c r="CI513" s="89"/>
      <c r="CJ513" s="89"/>
      <c r="CK513" s="89"/>
      <c r="CL513" s="89"/>
      <c r="CM513" s="89"/>
      <c r="CN513" s="89"/>
      <c r="CO513" s="89"/>
      <c r="CP513" s="89"/>
      <c r="CQ513" s="89"/>
    </row>
    <row r="514" spans="1:95" s="8" customFormat="1" ht="15" hidden="1" customHeight="1" outlineLevel="1" x14ac:dyDescent="0.25">
      <c r="A514" s="89"/>
      <c r="B514" s="135" t="s">
        <v>25</v>
      </c>
      <c r="C514" s="141"/>
      <c r="D514" s="140">
        <f t="shared" ref="D514:Q514" si="129">Forecast_without_69_72_with_xx*Without_69_72_with_xx_stroke_value</f>
        <v>0</v>
      </c>
      <c r="E514" s="140">
        <f t="shared" si="129"/>
        <v>0</v>
      </c>
      <c r="F514" s="140">
        <f t="shared" si="129"/>
        <v>0</v>
      </c>
      <c r="G514" s="140">
        <f t="shared" si="129"/>
        <v>0</v>
      </c>
      <c r="H514" s="140">
        <f t="shared" si="129"/>
        <v>0</v>
      </c>
      <c r="I514" s="140">
        <f t="shared" si="129"/>
        <v>0</v>
      </c>
      <c r="J514" s="140">
        <f t="shared" si="129"/>
        <v>0</v>
      </c>
      <c r="K514" s="140">
        <f t="shared" si="129"/>
        <v>0</v>
      </c>
      <c r="L514" s="140">
        <f t="shared" si="129"/>
        <v>250.40517102094074</v>
      </c>
      <c r="M514" s="140">
        <f t="shared" si="129"/>
        <v>0</v>
      </c>
      <c r="N514" s="140">
        <f t="shared" si="129"/>
        <v>-274.57163802096761</v>
      </c>
      <c r="O514" s="140">
        <f t="shared" si="129"/>
        <v>0</v>
      </c>
      <c r="P514" s="140">
        <f t="shared" si="129"/>
        <v>0</v>
      </c>
      <c r="Q514" s="140">
        <f t="shared" si="129"/>
        <v>0</v>
      </c>
      <c r="R514" s="26" t="s">
        <v>359</v>
      </c>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89"/>
      <c r="CD514" s="89"/>
      <c r="CE514" s="89"/>
      <c r="CF514" s="89"/>
      <c r="CG514" s="89"/>
      <c r="CH514" s="89"/>
      <c r="CI514" s="89"/>
      <c r="CJ514" s="89"/>
      <c r="CK514" s="89"/>
      <c r="CL514" s="89"/>
      <c r="CM514" s="89"/>
      <c r="CN514" s="89"/>
      <c r="CO514" s="89"/>
      <c r="CP514" s="89"/>
      <c r="CQ514" s="89"/>
    </row>
    <row r="515" spans="1:95" s="8" customFormat="1" ht="15" hidden="1" customHeight="1" outlineLevel="1" x14ac:dyDescent="0.25">
      <c r="A515" s="89"/>
      <c r="B515" s="135" t="s">
        <v>26</v>
      </c>
      <c r="C515" s="141"/>
      <c r="D515" s="140">
        <f t="shared" ref="D515:Q515" si="130">Forecast_without_72_75_with_xx*Without_72_75_with_xx_stroke_value</f>
        <v>0</v>
      </c>
      <c r="E515" s="140">
        <f t="shared" si="130"/>
        <v>0</v>
      </c>
      <c r="F515" s="140">
        <f t="shared" si="130"/>
        <v>0</v>
      </c>
      <c r="G515" s="140">
        <f t="shared" si="130"/>
        <v>0</v>
      </c>
      <c r="H515" s="140">
        <f t="shared" si="130"/>
        <v>0</v>
      </c>
      <c r="I515" s="140">
        <f t="shared" si="130"/>
        <v>0</v>
      </c>
      <c r="J515" s="140">
        <f t="shared" si="130"/>
        <v>0</v>
      </c>
      <c r="K515" s="140">
        <f t="shared" si="130"/>
        <v>0</v>
      </c>
      <c r="L515" s="140">
        <f t="shared" si="130"/>
        <v>0</v>
      </c>
      <c r="M515" s="140">
        <f t="shared" si="130"/>
        <v>274.57163802096761</v>
      </c>
      <c r="N515" s="140">
        <f t="shared" si="130"/>
        <v>0</v>
      </c>
      <c r="O515" s="140">
        <f t="shared" si="130"/>
        <v>-52.319219739971672</v>
      </c>
      <c r="P515" s="140">
        <f t="shared" si="130"/>
        <v>-14.960944364229251</v>
      </c>
      <c r="Q515" s="140">
        <f t="shared" si="130"/>
        <v>0</v>
      </c>
      <c r="R515" s="26" t="s">
        <v>360</v>
      </c>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89"/>
      <c r="CD515" s="89"/>
      <c r="CE515" s="89"/>
      <c r="CF515" s="89"/>
      <c r="CG515" s="89"/>
      <c r="CH515" s="89"/>
      <c r="CI515" s="89"/>
      <c r="CJ515" s="89"/>
      <c r="CK515" s="89"/>
      <c r="CL515" s="89"/>
      <c r="CM515" s="89"/>
      <c r="CN515" s="89"/>
      <c r="CO515" s="89"/>
      <c r="CP515" s="89"/>
      <c r="CQ515" s="89"/>
    </row>
    <row r="516" spans="1:95" s="8" customFormat="1" ht="15" hidden="1" customHeight="1" outlineLevel="1" x14ac:dyDescent="0.25">
      <c r="A516" s="89"/>
      <c r="B516" s="135" t="s">
        <v>27</v>
      </c>
      <c r="C516" s="141"/>
      <c r="D516" s="140">
        <f t="shared" ref="D516:Q516" si="131">Forecast_without_75_78_with_xx*Without_75_78_with_xx_stroke_value</f>
        <v>0</v>
      </c>
      <c r="E516" s="140">
        <f t="shared" si="131"/>
        <v>0</v>
      </c>
      <c r="F516" s="140">
        <f t="shared" si="131"/>
        <v>0</v>
      </c>
      <c r="G516" s="140">
        <f t="shared" si="131"/>
        <v>0</v>
      </c>
      <c r="H516" s="140">
        <f t="shared" si="131"/>
        <v>0</v>
      </c>
      <c r="I516" s="140">
        <f t="shared" si="131"/>
        <v>0</v>
      </c>
      <c r="J516" s="140">
        <f t="shared" si="131"/>
        <v>0</v>
      </c>
      <c r="K516" s="140">
        <f t="shared" si="131"/>
        <v>0</v>
      </c>
      <c r="L516" s="140">
        <f t="shared" si="131"/>
        <v>0</v>
      </c>
      <c r="M516" s="140">
        <f t="shared" si="131"/>
        <v>0</v>
      </c>
      <c r="N516" s="140">
        <f t="shared" si="131"/>
        <v>22.422522745702146</v>
      </c>
      <c r="O516" s="140">
        <f t="shared" si="131"/>
        <v>0</v>
      </c>
      <c r="P516" s="140">
        <f t="shared" si="131"/>
        <v>0</v>
      </c>
      <c r="Q516" s="140">
        <f t="shared" si="131"/>
        <v>0</v>
      </c>
      <c r="R516" s="26" t="s">
        <v>361</v>
      </c>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89"/>
      <c r="CD516" s="89"/>
      <c r="CE516" s="89"/>
      <c r="CF516" s="89"/>
      <c r="CG516" s="89"/>
      <c r="CH516" s="89"/>
      <c r="CI516" s="89"/>
      <c r="CJ516" s="89"/>
      <c r="CK516" s="89"/>
      <c r="CL516" s="89"/>
      <c r="CM516" s="89"/>
      <c r="CN516" s="89"/>
      <c r="CO516" s="89"/>
      <c r="CP516" s="89"/>
      <c r="CQ516" s="89"/>
    </row>
    <row r="517" spans="1:95" s="8" customFormat="1" ht="15" hidden="1" customHeight="1" outlineLevel="1" x14ac:dyDescent="0.25">
      <c r="A517" s="89"/>
      <c r="B517" s="135" t="s">
        <v>28</v>
      </c>
      <c r="C517" s="141"/>
      <c r="D517" s="140">
        <f t="shared" ref="D517:Q517" si="132">Forecast_without_78_81_with_xx*Without_78_81_with_xx_stroke_value</f>
        <v>0</v>
      </c>
      <c r="E517" s="140">
        <f t="shared" si="132"/>
        <v>0</v>
      </c>
      <c r="F517" s="140">
        <f t="shared" si="132"/>
        <v>0</v>
      </c>
      <c r="G517" s="140">
        <f t="shared" si="132"/>
        <v>0</v>
      </c>
      <c r="H517" s="140">
        <f t="shared" si="132"/>
        <v>0</v>
      </c>
      <c r="I517" s="140">
        <f t="shared" si="132"/>
        <v>0</v>
      </c>
      <c r="J517" s="140">
        <f t="shared" si="132"/>
        <v>0</v>
      </c>
      <c r="K517" s="140">
        <f t="shared" si="132"/>
        <v>0</v>
      </c>
      <c r="L517" s="140">
        <f t="shared" si="132"/>
        <v>0</v>
      </c>
      <c r="M517" s="140">
        <f t="shared" si="132"/>
        <v>0</v>
      </c>
      <c r="N517" s="140">
        <f t="shared" si="132"/>
        <v>0</v>
      </c>
      <c r="O517" s="140">
        <f t="shared" si="132"/>
        <v>0</v>
      </c>
      <c r="P517" s="140">
        <f t="shared" si="132"/>
        <v>0</v>
      </c>
      <c r="Q517" s="140">
        <f t="shared" si="132"/>
        <v>0</v>
      </c>
      <c r="R517" s="26" t="s">
        <v>362</v>
      </c>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89"/>
      <c r="CD517" s="89"/>
      <c r="CE517" s="89"/>
      <c r="CF517" s="89"/>
      <c r="CG517" s="89"/>
      <c r="CH517" s="89"/>
      <c r="CI517" s="89"/>
      <c r="CJ517" s="89"/>
      <c r="CK517" s="89"/>
      <c r="CL517" s="89"/>
      <c r="CM517" s="89"/>
      <c r="CN517" s="89"/>
      <c r="CO517" s="89"/>
      <c r="CP517" s="89"/>
      <c r="CQ517" s="89"/>
    </row>
    <row r="518" spans="1:95" s="8" customFormat="1" ht="15" hidden="1" customHeight="1" outlineLevel="1" x14ac:dyDescent="0.25">
      <c r="A518" s="89"/>
      <c r="B518" s="135" t="s">
        <v>29</v>
      </c>
      <c r="C518" s="142"/>
      <c r="D518" s="140">
        <f t="shared" ref="D518:Q518" si="133">Forecast_without_81_with_xx*Without_81_with_xx_stroke_value</f>
        <v>0</v>
      </c>
      <c r="E518" s="140">
        <f t="shared" si="133"/>
        <v>0</v>
      </c>
      <c r="F518" s="140">
        <f t="shared" si="133"/>
        <v>0</v>
      </c>
      <c r="G518" s="140">
        <f t="shared" si="133"/>
        <v>0</v>
      </c>
      <c r="H518" s="140">
        <f t="shared" si="133"/>
        <v>0</v>
      </c>
      <c r="I518" s="140">
        <f t="shared" si="133"/>
        <v>0</v>
      </c>
      <c r="J518" s="140">
        <f t="shared" si="133"/>
        <v>0</v>
      </c>
      <c r="K518" s="140">
        <f t="shared" si="133"/>
        <v>0</v>
      </c>
      <c r="L518" s="140">
        <f t="shared" si="133"/>
        <v>0</v>
      </c>
      <c r="M518" s="140">
        <f t="shared" si="133"/>
        <v>0</v>
      </c>
      <c r="N518" s="140">
        <f t="shared" si="133"/>
        <v>0</v>
      </c>
      <c r="O518" s="140">
        <f t="shared" si="133"/>
        <v>0</v>
      </c>
      <c r="P518" s="140">
        <f t="shared" si="133"/>
        <v>0</v>
      </c>
      <c r="Q518" s="140">
        <f t="shared" si="133"/>
        <v>0</v>
      </c>
      <c r="R518" s="26" t="s">
        <v>363</v>
      </c>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89"/>
      <c r="CD518" s="89"/>
      <c r="CE518" s="89"/>
      <c r="CF518" s="89"/>
      <c r="CG518" s="89"/>
      <c r="CH518" s="89"/>
      <c r="CI518" s="89"/>
      <c r="CJ518" s="89"/>
      <c r="CK518" s="89"/>
      <c r="CL518" s="89"/>
      <c r="CM518" s="89"/>
      <c r="CN518" s="89"/>
      <c r="CO518" s="89"/>
      <c r="CP518" s="89"/>
      <c r="CQ518" s="89"/>
    </row>
    <row r="519" spans="1:95" s="8" customFormat="1" ht="15" hidden="1" customHeight="1" outlineLevel="1" x14ac:dyDescent="0.25">
      <c r="A519" s="89"/>
      <c r="B519" s="133"/>
      <c r="C519" s="133"/>
      <c r="D519" s="133"/>
      <c r="E519" s="133"/>
      <c r="F519" s="133"/>
      <c r="G519" s="133"/>
      <c r="H519" s="133"/>
      <c r="I519" s="133"/>
      <c r="J519" s="133"/>
      <c r="K519" s="133"/>
      <c r="L519" s="133"/>
      <c r="M519" s="133"/>
      <c r="N519" s="133"/>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89"/>
      <c r="CD519" s="89"/>
      <c r="CE519" s="89"/>
      <c r="CF519" s="89"/>
      <c r="CG519" s="89"/>
      <c r="CH519" s="89"/>
      <c r="CI519" s="89"/>
      <c r="CJ519" s="89"/>
      <c r="CK519" s="89"/>
      <c r="CL519" s="89"/>
      <c r="CM519" s="89"/>
      <c r="CN519" s="89"/>
      <c r="CO519" s="89"/>
      <c r="CP519" s="89"/>
      <c r="CQ519" s="89"/>
    </row>
    <row r="520" spans="1:95" s="8" customFormat="1" ht="15" hidden="1" customHeight="1" outlineLevel="1" x14ac:dyDescent="0.25">
      <c r="A520" s="89"/>
      <c r="B520" s="143" t="s">
        <v>364</v>
      </c>
      <c r="C520" s="144">
        <f>SUM(Forecast_without_45_with_xx_stroke_cost,Forecast_without_45_48_with_xx_stroke_cost,Forecast_without_48_51_with_xx_stroke_cost,Forecast_without_51_54_with_xx_stroke_cost,Forecast_without_54_57_with_xx_stroke_cost,Forecast_without_57_60_with_xx_stroke_cost,Forecast_without_60_63_with_xx_stroke_cost,Forecast_without_63_66_with_xx_stroke_cost,Forecast_without_66_69_with_xx_stroke_cost,Forecast_without_69_72_with_xx_stroke_cost,Forecast_without_72_75_with_xx_stroke_cost,Forecast_without_75_78_with_xx_stroke_cost,Forecast_without_78_81_with_xx_stroke_cost,Forecast_without_81_with_xx_stroke_cost,)</f>
        <v>-31122.194363890067</v>
      </c>
      <c r="D520" s="30" t="s">
        <v>365</v>
      </c>
      <c r="E520" s="133"/>
      <c r="F520" s="133"/>
      <c r="G520" s="133"/>
      <c r="H520" s="133"/>
      <c r="I520" s="133"/>
      <c r="J520" s="133"/>
      <c r="K520" s="133"/>
      <c r="L520" s="133"/>
      <c r="M520" s="133"/>
      <c r="N520" s="133"/>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row>
    <row r="521" spans="1:95" s="8" customFormat="1" ht="15" hidden="1" customHeight="1" outlineLevel="1" x14ac:dyDescent="0.25">
      <c r="A521" s="89"/>
      <c r="B521" s="133"/>
      <c r="C521" s="133"/>
      <c r="D521" s="30"/>
      <c r="E521" s="133"/>
      <c r="F521" s="133"/>
      <c r="G521" s="133"/>
      <c r="H521" s="133"/>
      <c r="I521" s="133"/>
      <c r="J521" s="133"/>
      <c r="K521" s="133"/>
      <c r="L521" s="133"/>
      <c r="M521" s="133"/>
      <c r="N521" s="133"/>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89"/>
      <c r="CD521" s="89"/>
      <c r="CE521" s="89"/>
      <c r="CF521" s="89"/>
      <c r="CG521" s="89"/>
      <c r="CH521" s="89"/>
      <c r="CI521" s="89"/>
      <c r="CJ521" s="89"/>
      <c r="CK521" s="89"/>
      <c r="CL521" s="89"/>
      <c r="CM521" s="89"/>
      <c r="CN521" s="89"/>
      <c r="CO521" s="89"/>
      <c r="CP521" s="89"/>
      <c r="CQ521" s="89"/>
    </row>
    <row r="522" spans="1:95" s="8" customFormat="1" ht="15" hidden="1" customHeight="1" outlineLevel="1" x14ac:dyDescent="0.25">
      <c r="A522" s="89"/>
      <c r="B522" s="133" t="s">
        <v>366</v>
      </c>
      <c r="C522" s="144">
        <f>Forecast_year_stroke_cost-Opening_year_stroke_cost</f>
        <v>3453.4490184047863</v>
      </c>
      <c r="D522" s="30" t="s">
        <v>367</v>
      </c>
      <c r="E522" s="133"/>
      <c r="F522" s="133"/>
      <c r="G522" s="133"/>
      <c r="H522" s="133"/>
      <c r="I522" s="133"/>
      <c r="J522" s="133"/>
      <c r="K522" s="133"/>
      <c r="L522" s="133"/>
      <c r="M522" s="133"/>
      <c r="N522" s="133"/>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89"/>
      <c r="CD522" s="89"/>
      <c r="CE522" s="89"/>
      <c r="CF522" s="89"/>
      <c r="CG522" s="89"/>
      <c r="CH522" s="89"/>
      <c r="CI522" s="89"/>
      <c r="CJ522" s="89"/>
      <c r="CK522" s="89"/>
      <c r="CL522" s="89"/>
      <c r="CM522" s="89"/>
      <c r="CN522" s="89"/>
      <c r="CO522" s="89"/>
      <c r="CP522" s="89"/>
      <c r="CQ522" s="89"/>
    </row>
    <row r="523" spans="1:95" ht="15" hidden="1" outlineLevel="1" x14ac:dyDescent="0.25">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c r="AO523" s="131"/>
      <c r="AP523" s="131"/>
      <c r="AQ523" s="131"/>
      <c r="AR523" s="131"/>
      <c r="AS523" s="131"/>
      <c r="AT523" s="131"/>
      <c r="AU523" s="131"/>
      <c r="AV523" s="131"/>
      <c r="AW523" s="131"/>
      <c r="AX523" s="131"/>
      <c r="AY523" s="131"/>
      <c r="AZ523" s="131"/>
      <c r="BA523" s="131"/>
      <c r="BB523" s="131"/>
      <c r="BC523" s="131"/>
      <c r="BD523" s="131"/>
      <c r="BE523" s="131"/>
      <c r="BF523" s="131"/>
      <c r="BG523" s="131"/>
      <c r="BH523" s="131"/>
      <c r="BI523" s="131"/>
      <c r="BJ523" s="131"/>
      <c r="BK523" s="131"/>
      <c r="BL523" s="131"/>
      <c r="BM523" s="131"/>
      <c r="BN523" s="131"/>
      <c r="BO523" s="131"/>
      <c r="BP523" s="131"/>
      <c r="BQ523" s="131"/>
      <c r="BR523" s="131"/>
      <c r="BS523" s="131"/>
      <c r="BT523" s="131"/>
      <c r="BU523" s="131"/>
      <c r="BV523" s="131"/>
      <c r="BW523" s="131"/>
      <c r="BX523" s="131"/>
      <c r="BY523" s="131"/>
      <c r="BZ523" s="131"/>
      <c r="CA523" s="131"/>
      <c r="CB523" s="131"/>
      <c r="CC523" s="131"/>
      <c r="CD523" s="131"/>
      <c r="CE523" s="131"/>
      <c r="CF523" s="131"/>
      <c r="CG523" s="131"/>
      <c r="CH523" s="131"/>
      <c r="CI523" s="131"/>
      <c r="CJ523" s="131"/>
      <c r="CK523" s="131"/>
      <c r="CL523" s="131"/>
      <c r="CM523" s="131"/>
      <c r="CN523" s="131"/>
      <c r="CO523" s="131"/>
      <c r="CP523" s="131"/>
      <c r="CQ523" s="131"/>
    </row>
    <row r="524" spans="1:95" s="29" customFormat="1" ht="15.75" hidden="1" outlineLevel="1" x14ac:dyDescent="0.25">
      <c r="B524" s="29" t="s">
        <v>368</v>
      </c>
    </row>
    <row r="525" spans="1:95" s="8" customFormat="1" ht="15" hidden="1" customHeight="1" outlineLevel="1" x14ac:dyDescent="0.25">
      <c r="A525" s="89"/>
      <c r="B525" s="133"/>
      <c r="C525" s="133"/>
      <c r="D525" s="133"/>
      <c r="E525" s="133"/>
      <c r="F525" s="133"/>
      <c r="G525" s="133"/>
      <c r="H525" s="133"/>
      <c r="I525" s="133"/>
      <c r="J525" s="133"/>
      <c r="K525" s="133"/>
      <c r="L525" s="133"/>
      <c r="M525" s="133"/>
      <c r="N525" s="133"/>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89"/>
      <c r="CD525" s="89"/>
      <c r="CE525" s="89"/>
      <c r="CF525" s="89"/>
      <c r="CG525" s="89"/>
      <c r="CH525" s="89"/>
      <c r="CI525" s="89"/>
      <c r="CJ525" s="89"/>
      <c r="CK525" s="89"/>
      <c r="CL525" s="89"/>
      <c r="CM525" s="89"/>
      <c r="CN525" s="89"/>
      <c r="CO525" s="89"/>
      <c r="CP525" s="89"/>
      <c r="CQ525" s="89"/>
    </row>
    <row r="526" spans="1:95" s="8" customFormat="1" ht="15" hidden="1" customHeight="1" outlineLevel="1" x14ac:dyDescent="0.25">
      <c r="A526" s="89"/>
      <c r="B526" s="134"/>
      <c r="C526" s="91" t="s">
        <v>15</v>
      </c>
      <c r="D526" s="92" t="s">
        <v>16</v>
      </c>
      <c r="E526" s="135" t="s">
        <v>17</v>
      </c>
      <c r="F526" s="135" t="s">
        <v>18</v>
      </c>
      <c r="G526" s="135" t="s">
        <v>19</v>
      </c>
      <c r="H526" s="135" t="s">
        <v>20</v>
      </c>
      <c r="I526" s="135" t="s">
        <v>21</v>
      </c>
      <c r="J526" s="135" t="s">
        <v>22</v>
      </c>
      <c r="K526" s="135" t="s">
        <v>23</v>
      </c>
      <c r="L526" s="135" t="s">
        <v>24</v>
      </c>
      <c r="M526" s="135" t="s">
        <v>25</v>
      </c>
      <c r="N526" s="135" t="s">
        <v>26</v>
      </c>
      <c r="O526" s="135" t="s">
        <v>27</v>
      </c>
      <c r="P526" s="135" t="s">
        <v>28</v>
      </c>
      <c r="Q526" s="135" t="s">
        <v>29</v>
      </c>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89"/>
      <c r="CD526" s="89"/>
      <c r="CE526" s="89"/>
      <c r="CF526" s="89"/>
      <c r="CG526" s="89"/>
      <c r="CH526" s="89"/>
      <c r="CI526" s="89"/>
      <c r="CJ526" s="89"/>
      <c r="CK526" s="89"/>
      <c r="CL526" s="89"/>
      <c r="CM526" s="89"/>
      <c r="CN526" s="89"/>
      <c r="CO526" s="89"/>
      <c r="CP526" s="89"/>
      <c r="CQ526" s="89"/>
    </row>
    <row r="527" spans="1:95" s="8" customFormat="1" ht="15" hidden="1" customHeight="1" outlineLevel="1" x14ac:dyDescent="0.25">
      <c r="A527" s="89"/>
      <c r="B527" s="91" t="s">
        <v>30</v>
      </c>
      <c r="C527" s="136"/>
      <c r="D527" s="137"/>
      <c r="E527" s="138"/>
      <c r="F527" s="138"/>
      <c r="G527" s="138"/>
      <c r="H527" s="138"/>
      <c r="I527" s="138"/>
      <c r="J527" s="138"/>
      <c r="K527" s="138"/>
      <c r="L527" s="138"/>
      <c r="M527" s="138"/>
      <c r="N527" s="138"/>
      <c r="O527" s="138"/>
      <c r="P527" s="138"/>
      <c r="Q527" s="136"/>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89"/>
      <c r="CD527" s="89"/>
      <c r="CE527" s="89"/>
      <c r="CF527" s="89"/>
      <c r="CG527" s="89"/>
      <c r="CH527" s="89"/>
      <c r="CI527" s="89"/>
      <c r="CJ527" s="89"/>
      <c r="CK527" s="89"/>
      <c r="CL527" s="89"/>
      <c r="CM527" s="89"/>
      <c r="CN527" s="89"/>
      <c r="CO527" s="89"/>
      <c r="CP527" s="89"/>
      <c r="CQ527" s="89"/>
    </row>
    <row r="528" spans="1:95" s="8" customFormat="1" ht="15" hidden="1" customHeight="1" outlineLevel="1" x14ac:dyDescent="0.25">
      <c r="A528" s="89"/>
      <c r="B528" s="92" t="s">
        <v>16</v>
      </c>
      <c r="C528" s="139"/>
      <c r="D528" s="140">
        <f t="shared" ref="D528:Q528" si="134">Opening_without_45_with_xx*Without_45_with_xx_dementia_value</f>
        <v>0</v>
      </c>
      <c r="E528" s="140">
        <f t="shared" si="134"/>
        <v>0</v>
      </c>
      <c r="F528" s="140">
        <f t="shared" si="134"/>
        <v>-538.44943772729857</v>
      </c>
      <c r="G528" s="140">
        <f t="shared" si="134"/>
        <v>0</v>
      </c>
      <c r="H528" s="140">
        <f t="shared" si="134"/>
        <v>0</v>
      </c>
      <c r="I528" s="140">
        <f t="shared" si="134"/>
        <v>-40.993337938361158</v>
      </c>
      <c r="J528" s="140">
        <f t="shared" si="134"/>
        <v>0</v>
      </c>
      <c r="K528" s="140">
        <f t="shared" si="134"/>
        <v>0</v>
      </c>
      <c r="L528" s="140">
        <f t="shared" si="134"/>
        <v>0</v>
      </c>
      <c r="M528" s="140">
        <f t="shared" si="134"/>
        <v>0</v>
      </c>
      <c r="N528" s="140">
        <f t="shared" si="134"/>
        <v>0</v>
      </c>
      <c r="O528" s="140">
        <f t="shared" si="134"/>
        <v>0</v>
      </c>
      <c r="P528" s="140">
        <f t="shared" si="134"/>
        <v>0</v>
      </c>
      <c r="Q528" s="140">
        <f t="shared" si="134"/>
        <v>0</v>
      </c>
      <c r="R528" s="26" t="s">
        <v>369</v>
      </c>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row>
    <row r="529" spans="1:95" s="8" customFormat="1" ht="15" hidden="1" customHeight="1" outlineLevel="1" x14ac:dyDescent="0.25">
      <c r="A529" s="89"/>
      <c r="B529" s="135" t="s">
        <v>17</v>
      </c>
      <c r="C529" s="141"/>
      <c r="D529" s="140">
        <f t="shared" ref="D529:Q529" si="135">Opening_without_45_48_with_xx*Without_45_48_with_xx_dementia_value</f>
        <v>0</v>
      </c>
      <c r="E529" s="140">
        <f t="shared" si="135"/>
        <v>0</v>
      </c>
      <c r="F529" s="140">
        <f t="shared" si="135"/>
        <v>-8032.6063660957652</v>
      </c>
      <c r="G529" s="140">
        <f t="shared" si="135"/>
        <v>-779.22519065328504</v>
      </c>
      <c r="H529" s="140">
        <f t="shared" si="135"/>
        <v>-1751.7494445951761</v>
      </c>
      <c r="I529" s="140">
        <f t="shared" si="135"/>
        <v>-1352.7801519659183</v>
      </c>
      <c r="J529" s="140">
        <f t="shared" si="135"/>
        <v>-207.41349701784407</v>
      </c>
      <c r="K529" s="140">
        <f t="shared" si="135"/>
        <v>0</v>
      </c>
      <c r="L529" s="140">
        <f t="shared" si="135"/>
        <v>0</v>
      </c>
      <c r="M529" s="140">
        <f t="shared" si="135"/>
        <v>0</v>
      </c>
      <c r="N529" s="140">
        <f t="shared" si="135"/>
        <v>0</v>
      </c>
      <c r="O529" s="140">
        <f t="shared" si="135"/>
        <v>0</v>
      </c>
      <c r="P529" s="140">
        <f t="shared" si="135"/>
        <v>0</v>
      </c>
      <c r="Q529" s="140">
        <f t="shared" si="135"/>
        <v>0</v>
      </c>
      <c r="R529" s="26" t="s">
        <v>370</v>
      </c>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89"/>
      <c r="CD529" s="89"/>
      <c r="CE529" s="89"/>
      <c r="CF529" s="89"/>
      <c r="CG529" s="89"/>
      <c r="CH529" s="89"/>
      <c r="CI529" s="89"/>
      <c r="CJ529" s="89"/>
      <c r="CK529" s="89"/>
      <c r="CL529" s="89"/>
      <c r="CM529" s="89"/>
      <c r="CN529" s="89"/>
      <c r="CO529" s="89"/>
      <c r="CP529" s="89"/>
      <c r="CQ529" s="89"/>
    </row>
    <row r="530" spans="1:95" s="8" customFormat="1" ht="15" hidden="1" customHeight="1" outlineLevel="1" x14ac:dyDescent="0.25">
      <c r="A530" s="89"/>
      <c r="B530" s="135" t="s">
        <v>18</v>
      </c>
      <c r="C530" s="141"/>
      <c r="D530" s="140">
        <f t="shared" ref="D530:Q530" si="136">Opening_without_48_51_with_xx*Without_48_51_with_xx_dementia_value</f>
        <v>0</v>
      </c>
      <c r="E530" s="140">
        <f t="shared" si="136"/>
        <v>0</v>
      </c>
      <c r="F530" s="140">
        <f t="shared" si="136"/>
        <v>0</v>
      </c>
      <c r="G530" s="140">
        <f t="shared" si="136"/>
        <v>-13743.130846630489</v>
      </c>
      <c r="H530" s="140">
        <f t="shared" si="136"/>
        <v>-3462.836940249812</v>
      </c>
      <c r="I530" s="140">
        <f t="shared" si="136"/>
        <v>-289.49668178056709</v>
      </c>
      <c r="J530" s="140">
        <f t="shared" si="136"/>
        <v>-172.10533716687368</v>
      </c>
      <c r="K530" s="140">
        <f t="shared" si="136"/>
        <v>-53.95610938952764</v>
      </c>
      <c r="L530" s="140">
        <f t="shared" si="136"/>
        <v>0</v>
      </c>
      <c r="M530" s="140">
        <f t="shared" si="136"/>
        <v>-76.026747197042951</v>
      </c>
      <c r="N530" s="140">
        <f t="shared" si="136"/>
        <v>0</v>
      </c>
      <c r="O530" s="140">
        <f t="shared" si="136"/>
        <v>0</v>
      </c>
      <c r="P530" s="140">
        <f t="shared" si="136"/>
        <v>0</v>
      </c>
      <c r="Q530" s="140">
        <f t="shared" si="136"/>
        <v>0</v>
      </c>
      <c r="R530" s="26" t="s">
        <v>371</v>
      </c>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89"/>
      <c r="CD530" s="89"/>
      <c r="CE530" s="89"/>
      <c r="CF530" s="89"/>
      <c r="CG530" s="89"/>
      <c r="CH530" s="89"/>
      <c r="CI530" s="89"/>
      <c r="CJ530" s="89"/>
      <c r="CK530" s="89"/>
      <c r="CL530" s="89"/>
      <c r="CM530" s="89"/>
      <c r="CN530" s="89"/>
      <c r="CO530" s="89"/>
      <c r="CP530" s="89"/>
      <c r="CQ530" s="89"/>
    </row>
    <row r="531" spans="1:95" s="8" customFormat="1" ht="15" hidden="1" customHeight="1" outlineLevel="1" x14ac:dyDescent="0.25">
      <c r="A531" s="89"/>
      <c r="B531" s="135" t="s">
        <v>19</v>
      </c>
      <c r="C531" s="141"/>
      <c r="D531" s="140">
        <f t="shared" ref="D531:Q531" si="137">Opening_without_51_54_with_xx*Without_51_54_with_xx_dementia_value</f>
        <v>0</v>
      </c>
      <c r="E531" s="140">
        <f t="shared" si="137"/>
        <v>0</v>
      </c>
      <c r="F531" s="140">
        <f t="shared" si="137"/>
        <v>21.307179607179052</v>
      </c>
      <c r="G531" s="140">
        <f t="shared" si="137"/>
        <v>0</v>
      </c>
      <c r="H531" s="140">
        <f t="shared" si="137"/>
        <v>-9896.3569560435117</v>
      </c>
      <c r="I531" s="140">
        <f t="shared" si="137"/>
        <v>-1677.9912374182645</v>
      </c>
      <c r="J531" s="140">
        <f t="shared" si="137"/>
        <v>-841.6913566913513</v>
      </c>
      <c r="K531" s="140">
        <f t="shared" si="137"/>
        <v>-649.53779378907166</v>
      </c>
      <c r="L531" s="140">
        <f t="shared" si="137"/>
        <v>-488.72250421874355</v>
      </c>
      <c r="M531" s="140">
        <f t="shared" si="137"/>
        <v>-196.11947218036028</v>
      </c>
      <c r="N531" s="140">
        <f t="shared" si="137"/>
        <v>-153.02992778807874</v>
      </c>
      <c r="O531" s="140">
        <f t="shared" si="137"/>
        <v>-350.89758143943618</v>
      </c>
      <c r="P531" s="140">
        <f t="shared" si="137"/>
        <v>0</v>
      </c>
      <c r="Q531" s="140">
        <f t="shared" si="137"/>
        <v>0</v>
      </c>
      <c r="R531" s="26" t="s">
        <v>372</v>
      </c>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89"/>
      <c r="CD531" s="89"/>
      <c r="CE531" s="89"/>
      <c r="CF531" s="89"/>
      <c r="CG531" s="89"/>
      <c r="CH531" s="89"/>
      <c r="CI531" s="89"/>
      <c r="CJ531" s="89"/>
      <c r="CK531" s="89"/>
      <c r="CL531" s="89"/>
      <c r="CM531" s="89"/>
      <c r="CN531" s="89"/>
      <c r="CO531" s="89"/>
      <c r="CP531" s="89"/>
      <c r="CQ531" s="89"/>
    </row>
    <row r="532" spans="1:95" s="8" customFormat="1" ht="15" hidden="1" customHeight="1" outlineLevel="1" x14ac:dyDescent="0.25">
      <c r="A532" s="89"/>
      <c r="B532" s="135" t="s">
        <v>20</v>
      </c>
      <c r="C532" s="141"/>
      <c r="D532" s="140">
        <f t="shared" ref="D532:Q532" si="138">Opening_without_54_57_with_xx*Without_54_57_with_xx_dementia_value</f>
        <v>0</v>
      </c>
      <c r="E532" s="140">
        <f t="shared" si="138"/>
        <v>0</v>
      </c>
      <c r="F532" s="140">
        <f t="shared" si="138"/>
        <v>0</v>
      </c>
      <c r="G532" s="140">
        <f t="shared" si="138"/>
        <v>42.887787458476758</v>
      </c>
      <c r="H532" s="140">
        <f t="shared" si="138"/>
        <v>0</v>
      </c>
      <c r="I532" s="140">
        <f t="shared" si="138"/>
        <v>-3032.2039273821661</v>
      </c>
      <c r="J532" s="140">
        <f t="shared" si="138"/>
        <v>-303.11116672913585</v>
      </c>
      <c r="K532" s="140">
        <f t="shared" si="138"/>
        <v>-32.580572721318923</v>
      </c>
      <c r="L532" s="140">
        <f t="shared" si="138"/>
        <v>-174.32221441652038</v>
      </c>
      <c r="M532" s="140">
        <f t="shared" si="138"/>
        <v>0</v>
      </c>
      <c r="N532" s="140">
        <f t="shared" si="138"/>
        <v>0</v>
      </c>
      <c r="O532" s="140">
        <f t="shared" si="138"/>
        <v>0</v>
      </c>
      <c r="P532" s="140">
        <f t="shared" si="138"/>
        <v>0</v>
      </c>
      <c r="Q532" s="140">
        <f t="shared" si="138"/>
        <v>0</v>
      </c>
      <c r="R532" s="26" t="s">
        <v>373</v>
      </c>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89"/>
      <c r="CD532" s="89"/>
      <c r="CE532" s="89"/>
      <c r="CF532" s="89"/>
      <c r="CG532" s="89"/>
      <c r="CH532" s="89"/>
      <c r="CI532" s="89"/>
      <c r="CJ532" s="89"/>
      <c r="CK532" s="89"/>
      <c r="CL532" s="89"/>
      <c r="CM532" s="89"/>
      <c r="CN532" s="89"/>
      <c r="CO532" s="89"/>
      <c r="CP532" s="89"/>
      <c r="CQ532" s="89"/>
    </row>
    <row r="533" spans="1:95" s="8" customFormat="1" ht="15" hidden="1" customHeight="1" outlineLevel="1" x14ac:dyDescent="0.25">
      <c r="A533" s="89"/>
      <c r="B533" s="135" t="s">
        <v>21</v>
      </c>
      <c r="C533" s="141"/>
      <c r="D533" s="140">
        <f t="shared" ref="D533:Q533" si="139">Opening_without_57_60_with_xx*Without_57_60_with_xx_dementia_value</f>
        <v>0</v>
      </c>
      <c r="E533" s="140">
        <f t="shared" si="139"/>
        <v>0</v>
      </c>
      <c r="F533" s="140">
        <f t="shared" si="139"/>
        <v>0</v>
      </c>
      <c r="G533" s="140">
        <f t="shared" si="139"/>
        <v>0</v>
      </c>
      <c r="H533" s="140">
        <f t="shared" si="139"/>
        <v>183.44294222596733</v>
      </c>
      <c r="I533" s="140">
        <f t="shared" si="139"/>
        <v>0</v>
      </c>
      <c r="J533" s="140">
        <f t="shared" si="139"/>
        <v>-1715.8857379437779</v>
      </c>
      <c r="K533" s="140">
        <f t="shared" si="139"/>
        <v>-239.68792555299984</v>
      </c>
      <c r="L533" s="140">
        <f t="shared" si="139"/>
        <v>-32.78979229672025</v>
      </c>
      <c r="M533" s="140">
        <f t="shared" si="139"/>
        <v>-87.720898442848778</v>
      </c>
      <c r="N533" s="140">
        <f t="shared" si="139"/>
        <v>0</v>
      </c>
      <c r="O533" s="140">
        <f t="shared" si="139"/>
        <v>0</v>
      </c>
      <c r="P533" s="140">
        <f t="shared" si="139"/>
        <v>0</v>
      </c>
      <c r="Q533" s="140">
        <f t="shared" si="139"/>
        <v>0</v>
      </c>
      <c r="R533" s="26" t="s">
        <v>374</v>
      </c>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89"/>
      <c r="CD533" s="89"/>
      <c r="CE533" s="89"/>
      <c r="CF533" s="89"/>
      <c r="CG533" s="89"/>
      <c r="CH533" s="89"/>
      <c r="CI533" s="89"/>
      <c r="CJ533" s="89"/>
      <c r="CK533" s="89"/>
      <c r="CL533" s="89"/>
      <c r="CM533" s="89"/>
      <c r="CN533" s="89"/>
      <c r="CO533" s="89"/>
      <c r="CP533" s="89"/>
      <c r="CQ533" s="89"/>
    </row>
    <row r="534" spans="1:95" s="8" customFormat="1" ht="15" hidden="1" customHeight="1" outlineLevel="1" x14ac:dyDescent="0.25">
      <c r="A534" s="89"/>
      <c r="B534" s="135" t="s">
        <v>22</v>
      </c>
      <c r="C534" s="141"/>
      <c r="D534" s="140">
        <f t="shared" ref="D534:Q534" si="140">Opening_without_60_63_with_xx*Without_60_63_with_xx_dementia_value</f>
        <v>0</v>
      </c>
      <c r="E534" s="140">
        <f t="shared" si="140"/>
        <v>0</v>
      </c>
      <c r="F534" s="140">
        <f t="shared" si="140"/>
        <v>0</v>
      </c>
      <c r="G534" s="140">
        <f t="shared" si="140"/>
        <v>0</v>
      </c>
      <c r="H534" s="140">
        <f t="shared" si="140"/>
        <v>0</v>
      </c>
      <c r="I534" s="140">
        <f t="shared" si="140"/>
        <v>456.12152527619412</v>
      </c>
      <c r="J534" s="140">
        <f t="shared" si="140"/>
        <v>0</v>
      </c>
      <c r="K534" s="140">
        <f t="shared" si="140"/>
        <v>-1847.1319915297581</v>
      </c>
      <c r="L534" s="140">
        <f t="shared" si="140"/>
        <v>-833.33072726357489</v>
      </c>
      <c r="M534" s="140">
        <f t="shared" si="140"/>
        <v>-33.000412905324531</v>
      </c>
      <c r="N534" s="140">
        <f t="shared" si="140"/>
        <v>0</v>
      </c>
      <c r="O534" s="140">
        <f t="shared" si="140"/>
        <v>0</v>
      </c>
      <c r="P534" s="140">
        <f t="shared" si="140"/>
        <v>0</v>
      </c>
      <c r="Q534" s="140">
        <f t="shared" si="140"/>
        <v>0</v>
      </c>
      <c r="R534" s="26" t="s">
        <v>375</v>
      </c>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89"/>
      <c r="CD534" s="89"/>
      <c r="CE534" s="89"/>
      <c r="CF534" s="89"/>
      <c r="CG534" s="89"/>
      <c r="CH534" s="89"/>
      <c r="CI534" s="89"/>
      <c r="CJ534" s="89"/>
      <c r="CK534" s="89"/>
      <c r="CL534" s="89"/>
      <c r="CM534" s="89"/>
      <c r="CN534" s="89"/>
      <c r="CO534" s="89"/>
      <c r="CP534" s="89"/>
      <c r="CQ534" s="89"/>
    </row>
    <row r="535" spans="1:95" s="8" customFormat="1" ht="15" hidden="1" customHeight="1" outlineLevel="1" x14ac:dyDescent="0.25">
      <c r="A535" s="89"/>
      <c r="B535" s="135" t="s">
        <v>23</v>
      </c>
      <c r="C535" s="141"/>
      <c r="D535" s="140">
        <f t="shared" ref="D535:Q535" si="141">Opening_without_63_66_with_xx*Without_63_66_with_xx_dementia_value</f>
        <v>0</v>
      </c>
      <c r="E535" s="140">
        <f t="shared" si="141"/>
        <v>0</v>
      </c>
      <c r="F535" s="140">
        <f t="shared" si="141"/>
        <v>0</v>
      </c>
      <c r="G535" s="140">
        <f t="shared" si="141"/>
        <v>0</v>
      </c>
      <c r="H535" s="140">
        <f t="shared" si="141"/>
        <v>0</v>
      </c>
      <c r="I535" s="140">
        <f t="shared" si="141"/>
        <v>1111.280382109363</v>
      </c>
      <c r="J535" s="140">
        <f t="shared" si="141"/>
        <v>109.2977509780922</v>
      </c>
      <c r="K535" s="140">
        <f t="shared" si="141"/>
        <v>0</v>
      </c>
      <c r="L535" s="140">
        <f t="shared" si="141"/>
        <v>-1484.9974191795084</v>
      </c>
      <c r="M535" s="140">
        <f t="shared" si="141"/>
        <v>-88.282551230061244</v>
      </c>
      <c r="N535" s="140">
        <f t="shared" si="141"/>
        <v>0</v>
      </c>
      <c r="O535" s="140">
        <f t="shared" si="141"/>
        <v>0</v>
      </c>
      <c r="P535" s="140">
        <f t="shared" si="141"/>
        <v>0</v>
      </c>
      <c r="Q535" s="140">
        <f t="shared" si="141"/>
        <v>0</v>
      </c>
      <c r="R535" s="26" t="s">
        <v>376</v>
      </c>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89"/>
      <c r="CD535" s="89"/>
      <c r="CE535" s="89"/>
      <c r="CF535" s="89"/>
      <c r="CG535" s="89"/>
      <c r="CH535" s="89"/>
      <c r="CI535" s="89"/>
      <c r="CJ535" s="89"/>
      <c r="CK535" s="89"/>
      <c r="CL535" s="89"/>
      <c r="CM535" s="89"/>
      <c r="CN535" s="89"/>
      <c r="CO535" s="89"/>
      <c r="CP535" s="89"/>
      <c r="CQ535" s="89"/>
    </row>
    <row r="536" spans="1:95" s="8" customFormat="1" ht="15" hidden="1" customHeight="1" outlineLevel="1" x14ac:dyDescent="0.25">
      <c r="A536" s="89"/>
      <c r="B536" s="135" t="s">
        <v>24</v>
      </c>
      <c r="C536" s="141"/>
      <c r="D536" s="140">
        <f t="shared" ref="D536:Q536" si="142">Opening_without_66_69_with_xx*Without_66_69_with_xx_dementia_value</f>
        <v>0</v>
      </c>
      <c r="E536" s="140">
        <f t="shared" si="142"/>
        <v>0</v>
      </c>
      <c r="F536" s="140">
        <f t="shared" si="142"/>
        <v>0</v>
      </c>
      <c r="G536" s="140">
        <f t="shared" si="142"/>
        <v>0</v>
      </c>
      <c r="H536" s="140">
        <f t="shared" si="142"/>
        <v>0</v>
      </c>
      <c r="I536" s="140">
        <f t="shared" si="142"/>
        <v>0</v>
      </c>
      <c r="J536" s="140">
        <f t="shared" si="142"/>
        <v>0</v>
      </c>
      <c r="K536" s="140">
        <f t="shared" si="142"/>
        <v>483.99915884369159</v>
      </c>
      <c r="L536" s="140">
        <f t="shared" si="142"/>
        <v>0</v>
      </c>
      <c r="M536" s="140">
        <f t="shared" si="142"/>
        <v>-298.90773696701172</v>
      </c>
      <c r="N536" s="140">
        <f t="shared" si="142"/>
        <v>-44.42492685058015</v>
      </c>
      <c r="O536" s="140">
        <f t="shared" si="142"/>
        <v>0</v>
      </c>
      <c r="P536" s="140">
        <f t="shared" si="142"/>
        <v>0</v>
      </c>
      <c r="Q536" s="140">
        <f t="shared" si="142"/>
        <v>0</v>
      </c>
      <c r="R536" s="26" t="s">
        <v>377</v>
      </c>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89"/>
      <c r="CD536" s="89"/>
      <c r="CE536" s="89"/>
      <c r="CF536" s="89"/>
      <c r="CG536" s="89"/>
      <c r="CH536" s="89"/>
      <c r="CI536" s="89"/>
      <c r="CJ536" s="89"/>
      <c r="CK536" s="89"/>
      <c r="CL536" s="89"/>
      <c r="CM536" s="89"/>
      <c r="CN536" s="89"/>
      <c r="CO536" s="89"/>
      <c r="CP536" s="89"/>
      <c r="CQ536" s="89"/>
    </row>
    <row r="537" spans="1:95" s="8" customFormat="1" ht="15" hidden="1" customHeight="1" outlineLevel="1" x14ac:dyDescent="0.25">
      <c r="A537" s="89"/>
      <c r="B537" s="135" t="s">
        <v>25</v>
      </c>
      <c r="C537" s="141"/>
      <c r="D537" s="140">
        <f t="shared" ref="D537:Q537" si="143">Opening_without_69_72_with_xx*Without_69_72_with_xx_dementia_value</f>
        <v>0</v>
      </c>
      <c r="E537" s="140">
        <f t="shared" si="143"/>
        <v>0</v>
      </c>
      <c r="F537" s="140">
        <f t="shared" si="143"/>
        <v>0</v>
      </c>
      <c r="G537" s="140">
        <f t="shared" si="143"/>
        <v>0</v>
      </c>
      <c r="H537" s="140">
        <f t="shared" si="143"/>
        <v>0</v>
      </c>
      <c r="I537" s="140">
        <f t="shared" si="143"/>
        <v>0</v>
      </c>
      <c r="J537" s="140">
        <f t="shared" si="143"/>
        <v>0</v>
      </c>
      <c r="K537" s="140">
        <f t="shared" si="143"/>
        <v>0</v>
      </c>
      <c r="L537" s="140">
        <f t="shared" si="143"/>
        <v>321.04905081641999</v>
      </c>
      <c r="M537" s="140">
        <f t="shared" si="143"/>
        <v>0</v>
      </c>
      <c r="N537" s="140">
        <f t="shared" si="143"/>
        <v>-378.82142101992196</v>
      </c>
      <c r="O537" s="140">
        <f t="shared" si="143"/>
        <v>0</v>
      </c>
      <c r="P537" s="140">
        <f t="shared" si="143"/>
        <v>0</v>
      </c>
      <c r="Q537" s="140">
        <f t="shared" si="143"/>
        <v>0</v>
      </c>
      <c r="R537" s="26" t="s">
        <v>378</v>
      </c>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row>
    <row r="538" spans="1:95" s="8" customFormat="1" ht="15" hidden="1" customHeight="1" outlineLevel="1" x14ac:dyDescent="0.25">
      <c r="A538" s="89"/>
      <c r="B538" s="135" t="s">
        <v>26</v>
      </c>
      <c r="C538" s="141"/>
      <c r="D538" s="140">
        <f t="shared" ref="D538:Q538" si="144">Opening_without_72_75_with_xx*Without_72_75_with_xx_dementia_value</f>
        <v>0</v>
      </c>
      <c r="E538" s="140">
        <f t="shared" si="144"/>
        <v>0</v>
      </c>
      <c r="F538" s="140">
        <f t="shared" si="144"/>
        <v>0</v>
      </c>
      <c r="G538" s="140">
        <f t="shared" si="144"/>
        <v>0</v>
      </c>
      <c r="H538" s="140">
        <f t="shared" si="144"/>
        <v>0</v>
      </c>
      <c r="I538" s="140">
        <f t="shared" si="144"/>
        <v>0</v>
      </c>
      <c r="J538" s="140">
        <f t="shared" si="144"/>
        <v>0</v>
      </c>
      <c r="K538" s="140">
        <f t="shared" si="144"/>
        <v>0</v>
      </c>
      <c r="L538" s="140">
        <f t="shared" si="144"/>
        <v>0</v>
      </c>
      <c r="M538" s="140">
        <f t="shared" si="144"/>
        <v>423.38864702226573</v>
      </c>
      <c r="N538" s="140">
        <f t="shared" si="144"/>
        <v>0</v>
      </c>
      <c r="O538" s="140">
        <f t="shared" si="144"/>
        <v>-78.466020260737707</v>
      </c>
      <c r="P538" s="140">
        <f t="shared" si="144"/>
        <v>-22.434824223426936</v>
      </c>
      <c r="Q538" s="140">
        <f t="shared" si="144"/>
        <v>0</v>
      </c>
      <c r="R538" s="26" t="s">
        <v>379</v>
      </c>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89"/>
      <c r="CD538" s="89"/>
      <c r="CE538" s="89"/>
      <c r="CF538" s="89"/>
      <c r="CG538" s="89"/>
      <c r="CH538" s="89"/>
      <c r="CI538" s="89"/>
      <c r="CJ538" s="89"/>
      <c r="CK538" s="89"/>
      <c r="CL538" s="89"/>
      <c r="CM538" s="89"/>
      <c r="CN538" s="89"/>
      <c r="CO538" s="89"/>
      <c r="CP538" s="89"/>
      <c r="CQ538" s="89"/>
    </row>
    <row r="539" spans="1:95" s="8" customFormat="1" ht="15" hidden="1" customHeight="1" outlineLevel="1" x14ac:dyDescent="0.25">
      <c r="A539" s="89"/>
      <c r="B539" s="135" t="s">
        <v>27</v>
      </c>
      <c r="C539" s="141"/>
      <c r="D539" s="140">
        <f t="shared" ref="D539:Q539" si="145">Opening_without_75_78_with_xx*Without_75_78_with_xx_dementia_value</f>
        <v>0</v>
      </c>
      <c r="E539" s="140">
        <f t="shared" si="145"/>
        <v>0</v>
      </c>
      <c r="F539" s="140">
        <f t="shared" si="145"/>
        <v>0</v>
      </c>
      <c r="G539" s="140">
        <f t="shared" si="145"/>
        <v>0</v>
      </c>
      <c r="H539" s="140">
        <f t="shared" si="145"/>
        <v>0</v>
      </c>
      <c r="I539" s="140">
        <f t="shared" si="145"/>
        <v>0</v>
      </c>
      <c r="J539" s="140">
        <f t="shared" si="145"/>
        <v>0</v>
      </c>
      <c r="K539" s="140">
        <f t="shared" si="145"/>
        <v>0</v>
      </c>
      <c r="L539" s="140">
        <f t="shared" si="145"/>
        <v>0</v>
      </c>
      <c r="M539" s="140">
        <f t="shared" si="145"/>
        <v>0</v>
      </c>
      <c r="N539" s="140">
        <f t="shared" si="145"/>
        <v>44.837725863278692</v>
      </c>
      <c r="O539" s="140">
        <f t="shared" si="145"/>
        <v>0</v>
      </c>
      <c r="P539" s="140">
        <f t="shared" si="145"/>
        <v>0</v>
      </c>
      <c r="Q539" s="140">
        <f t="shared" si="145"/>
        <v>0</v>
      </c>
      <c r="R539" s="26" t="s">
        <v>380</v>
      </c>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89"/>
      <c r="CD539" s="89"/>
      <c r="CE539" s="89"/>
      <c r="CF539" s="89"/>
      <c r="CG539" s="89"/>
      <c r="CH539" s="89"/>
      <c r="CI539" s="89"/>
      <c r="CJ539" s="89"/>
      <c r="CK539" s="89"/>
      <c r="CL539" s="89"/>
      <c r="CM539" s="89"/>
      <c r="CN539" s="89"/>
      <c r="CO539" s="89"/>
      <c r="CP539" s="89"/>
      <c r="CQ539" s="89"/>
    </row>
    <row r="540" spans="1:95" s="8" customFormat="1" ht="15" hidden="1" customHeight="1" outlineLevel="1" x14ac:dyDescent="0.25">
      <c r="A540" s="89"/>
      <c r="B540" s="135" t="s">
        <v>28</v>
      </c>
      <c r="C540" s="141"/>
      <c r="D540" s="140">
        <f t="shared" ref="D540:Q540" si="146">Opening_without_78_81_with_xx*Without_78_81_with_xx_dementia_value</f>
        <v>0</v>
      </c>
      <c r="E540" s="140">
        <f t="shared" si="146"/>
        <v>0</v>
      </c>
      <c r="F540" s="140">
        <f t="shared" si="146"/>
        <v>0</v>
      </c>
      <c r="G540" s="140">
        <f t="shared" si="146"/>
        <v>0</v>
      </c>
      <c r="H540" s="140">
        <f t="shared" si="146"/>
        <v>0</v>
      </c>
      <c r="I540" s="140">
        <f t="shared" si="146"/>
        <v>0</v>
      </c>
      <c r="J540" s="140">
        <f t="shared" si="146"/>
        <v>0</v>
      </c>
      <c r="K540" s="140">
        <f t="shared" si="146"/>
        <v>0</v>
      </c>
      <c r="L540" s="140">
        <f t="shared" si="146"/>
        <v>0</v>
      </c>
      <c r="M540" s="140">
        <f t="shared" si="146"/>
        <v>0</v>
      </c>
      <c r="N540" s="140">
        <f t="shared" si="146"/>
        <v>0</v>
      </c>
      <c r="O540" s="140">
        <f t="shared" si="146"/>
        <v>0</v>
      </c>
      <c r="P540" s="140">
        <f t="shared" si="146"/>
        <v>0</v>
      </c>
      <c r="Q540" s="140">
        <f t="shared" si="146"/>
        <v>0</v>
      </c>
      <c r="R540" s="26" t="s">
        <v>381</v>
      </c>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89"/>
      <c r="CD540" s="89"/>
      <c r="CE540" s="89"/>
      <c r="CF540" s="89"/>
      <c r="CG540" s="89"/>
      <c r="CH540" s="89"/>
      <c r="CI540" s="89"/>
      <c r="CJ540" s="89"/>
      <c r="CK540" s="89"/>
      <c r="CL540" s="89"/>
      <c r="CM540" s="89"/>
      <c r="CN540" s="89"/>
      <c r="CO540" s="89"/>
      <c r="CP540" s="89"/>
      <c r="CQ540" s="89"/>
    </row>
    <row r="541" spans="1:95" s="8" customFormat="1" ht="15" hidden="1" customHeight="1" outlineLevel="1" x14ac:dyDescent="0.25">
      <c r="A541" s="89"/>
      <c r="B541" s="135" t="s">
        <v>29</v>
      </c>
      <c r="C541" s="142"/>
      <c r="D541" s="140">
        <f t="shared" ref="D541:Q541" si="147">Opening_without_81_with_xx*Without_81_with_xx_dementia_value</f>
        <v>0</v>
      </c>
      <c r="E541" s="140">
        <f t="shared" si="147"/>
        <v>0</v>
      </c>
      <c r="F541" s="140">
        <f t="shared" si="147"/>
        <v>0</v>
      </c>
      <c r="G541" s="140">
        <f t="shared" si="147"/>
        <v>0</v>
      </c>
      <c r="H541" s="140">
        <f t="shared" si="147"/>
        <v>0</v>
      </c>
      <c r="I541" s="140">
        <f t="shared" si="147"/>
        <v>0</v>
      </c>
      <c r="J541" s="140">
        <f t="shared" si="147"/>
        <v>0</v>
      </c>
      <c r="K541" s="140">
        <f t="shared" si="147"/>
        <v>0</v>
      </c>
      <c r="L541" s="140">
        <f t="shared" si="147"/>
        <v>0</v>
      </c>
      <c r="M541" s="140">
        <f t="shared" si="147"/>
        <v>0</v>
      </c>
      <c r="N541" s="140">
        <f t="shared" si="147"/>
        <v>0</v>
      </c>
      <c r="O541" s="140">
        <f t="shared" si="147"/>
        <v>0</v>
      </c>
      <c r="P541" s="140">
        <f t="shared" si="147"/>
        <v>0</v>
      </c>
      <c r="Q541" s="140">
        <f t="shared" si="147"/>
        <v>0</v>
      </c>
      <c r="R541" s="26" t="s">
        <v>382</v>
      </c>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89"/>
      <c r="CD541" s="89"/>
      <c r="CE541" s="89"/>
      <c r="CF541" s="89"/>
      <c r="CG541" s="89"/>
      <c r="CH541" s="89"/>
      <c r="CI541" s="89"/>
      <c r="CJ541" s="89"/>
      <c r="CK541" s="89"/>
      <c r="CL541" s="89"/>
      <c r="CM541" s="89"/>
      <c r="CN541" s="89"/>
      <c r="CO541" s="89"/>
      <c r="CP541" s="89"/>
      <c r="CQ541" s="89"/>
    </row>
    <row r="542" spans="1:95" s="8" customFormat="1" ht="15" hidden="1" customHeight="1" outlineLevel="1" x14ac:dyDescent="0.25">
      <c r="A542" s="89"/>
      <c r="B542" s="133"/>
      <c r="C542" s="133"/>
      <c r="D542" s="133"/>
      <c r="E542" s="133"/>
      <c r="F542" s="133"/>
      <c r="G542" s="133"/>
      <c r="H542" s="133"/>
      <c r="I542" s="133"/>
      <c r="J542" s="133"/>
      <c r="K542" s="133"/>
      <c r="L542" s="133"/>
      <c r="M542" s="133"/>
      <c r="N542" s="133"/>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89"/>
      <c r="CD542" s="89"/>
      <c r="CE542" s="89"/>
      <c r="CF542" s="89"/>
      <c r="CG542" s="89"/>
      <c r="CH542" s="89"/>
      <c r="CI542" s="89"/>
      <c r="CJ542" s="89"/>
      <c r="CK542" s="89"/>
      <c r="CL542" s="89"/>
      <c r="CM542" s="89"/>
      <c r="CN542" s="89"/>
      <c r="CO542" s="89"/>
      <c r="CP542" s="89"/>
      <c r="CQ542" s="89"/>
    </row>
    <row r="543" spans="1:95" s="8" customFormat="1" ht="15" hidden="1" customHeight="1" outlineLevel="1" x14ac:dyDescent="0.25">
      <c r="A543" s="89"/>
      <c r="B543" s="143" t="s">
        <v>383</v>
      </c>
      <c r="C543" s="144">
        <f>SUM(Opening_without_45_with_xx_dementia_cost,Opening_without_45_48_with_xx_dementia_cost,Opening_without_48_51_with_xx_dementia_cost,Opening_without_51_54_with_xx_dementia_cost,Opening_without_54_57_with_xx_dementia_cost,Opening_without_57_60_with_xx_dementia_cost,Opening_without_60_63_with_xx_dementia_cost,Opening_without_63_66_with_xx_dementia_cost,Opening_without_66_69_with_xx_dementia_cost,Opening_without_69_72_with_xx_dementia_cost,Opening_without_72_75_with_xx_dementia_cost,Opening_without_75_78_with_xx_dementia_cost,Opening_without_78_81_with_xx_dementia_cost,Opening_without_81_with_xx_dementia_cost)</f>
        <v>-52285.605034691245</v>
      </c>
      <c r="D543" s="30" t="s">
        <v>384</v>
      </c>
      <c r="E543" s="133"/>
      <c r="F543" s="133"/>
      <c r="G543" s="133"/>
      <c r="H543" s="133"/>
      <c r="I543" s="133"/>
      <c r="J543" s="133"/>
      <c r="K543" s="133"/>
      <c r="L543" s="133"/>
      <c r="M543" s="133"/>
      <c r="N543" s="133"/>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89"/>
      <c r="CD543" s="89"/>
      <c r="CE543" s="89"/>
      <c r="CF543" s="89"/>
      <c r="CG543" s="89"/>
      <c r="CH543" s="89"/>
      <c r="CI543" s="89"/>
      <c r="CJ543" s="89"/>
      <c r="CK543" s="89"/>
      <c r="CL543" s="89"/>
      <c r="CM543" s="89"/>
      <c r="CN543" s="89"/>
      <c r="CO543" s="89"/>
      <c r="CP543" s="89"/>
      <c r="CQ543" s="89"/>
    </row>
    <row r="544" spans="1:95" s="8" customFormat="1" ht="15" hidden="1" customHeight="1" outlineLevel="1" x14ac:dyDescent="0.25">
      <c r="A544" s="89"/>
      <c r="B544" s="133"/>
      <c r="C544" s="133"/>
      <c r="D544" s="133"/>
      <c r="E544" s="133"/>
      <c r="F544" s="133"/>
      <c r="G544" s="133"/>
      <c r="H544" s="133"/>
      <c r="I544" s="133"/>
      <c r="J544" s="133"/>
      <c r="K544" s="133"/>
      <c r="L544" s="133"/>
      <c r="M544" s="133"/>
      <c r="N544" s="133"/>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row>
    <row r="545" spans="1:95" s="5" customFormat="1" ht="15.75" hidden="1" outlineLevel="1" x14ac:dyDescent="0.25">
      <c r="B545" s="5" t="s">
        <v>385</v>
      </c>
    </row>
    <row r="546" spans="1:95" s="8" customFormat="1" ht="15" hidden="1" customHeight="1" outlineLevel="1" x14ac:dyDescent="0.25">
      <c r="A546" s="89"/>
      <c r="B546" s="133"/>
      <c r="C546" s="133"/>
      <c r="D546" s="133"/>
      <c r="E546" s="133"/>
      <c r="F546" s="133"/>
      <c r="G546" s="133"/>
      <c r="H546" s="133"/>
      <c r="I546" s="133"/>
      <c r="J546" s="133"/>
      <c r="K546" s="133"/>
      <c r="L546" s="133"/>
      <c r="M546" s="133"/>
      <c r="N546" s="133"/>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89"/>
      <c r="CD546" s="89"/>
      <c r="CE546" s="89"/>
      <c r="CF546" s="89"/>
      <c r="CG546" s="89"/>
      <c r="CH546" s="89"/>
      <c r="CI546" s="89"/>
      <c r="CJ546" s="89"/>
      <c r="CK546" s="89"/>
      <c r="CL546" s="89"/>
      <c r="CM546" s="89"/>
      <c r="CN546" s="89"/>
      <c r="CO546" s="89"/>
      <c r="CP546" s="89"/>
      <c r="CQ546" s="89"/>
    </row>
    <row r="547" spans="1:95" s="8" customFormat="1" ht="15" hidden="1" customHeight="1" outlineLevel="1" x14ac:dyDescent="0.25">
      <c r="A547" s="89"/>
      <c r="B547" s="134"/>
      <c r="C547" s="91" t="s">
        <v>15</v>
      </c>
      <c r="D547" s="92" t="s">
        <v>16</v>
      </c>
      <c r="E547" s="135" t="s">
        <v>17</v>
      </c>
      <c r="F547" s="135" t="s">
        <v>18</v>
      </c>
      <c r="G547" s="135" t="s">
        <v>19</v>
      </c>
      <c r="H547" s="135" t="s">
        <v>20</v>
      </c>
      <c r="I547" s="135" t="s">
        <v>21</v>
      </c>
      <c r="J547" s="135" t="s">
        <v>22</v>
      </c>
      <c r="K547" s="135" t="s">
        <v>23</v>
      </c>
      <c r="L547" s="135" t="s">
        <v>24</v>
      </c>
      <c r="M547" s="135" t="s">
        <v>25</v>
      </c>
      <c r="N547" s="135" t="s">
        <v>26</v>
      </c>
      <c r="O547" s="135" t="s">
        <v>27</v>
      </c>
      <c r="P547" s="135" t="s">
        <v>28</v>
      </c>
      <c r="Q547" s="135" t="s">
        <v>29</v>
      </c>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89"/>
      <c r="CD547" s="89"/>
      <c r="CE547" s="89"/>
      <c r="CF547" s="89"/>
      <c r="CG547" s="89"/>
      <c r="CH547" s="89"/>
      <c r="CI547" s="89"/>
      <c r="CJ547" s="89"/>
      <c r="CK547" s="89"/>
      <c r="CL547" s="89"/>
      <c r="CM547" s="89"/>
      <c r="CN547" s="89"/>
      <c r="CO547" s="89"/>
      <c r="CP547" s="89"/>
      <c r="CQ547" s="89"/>
    </row>
    <row r="548" spans="1:95" s="8" customFormat="1" ht="15" hidden="1" customHeight="1" outlineLevel="1" x14ac:dyDescent="0.25">
      <c r="A548" s="89"/>
      <c r="B548" s="91" t="s">
        <v>30</v>
      </c>
      <c r="C548" s="136"/>
      <c r="D548" s="137"/>
      <c r="E548" s="138"/>
      <c r="F548" s="138"/>
      <c r="G548" s="138"/>
      <c r="H548" s="138"/>
      <c r="I548" s="138"/>
      <c r="J548" s="138"/>
      <c r="K548" s="138"/>
      <c r="L548" s="138"/>
      <c r="M548" s="138"/>
      <c r="N548" s="138"/>
      <c r="O548" s="138"/>
      <c r="P548" s="138"/>
      <c r="Q548" s="136"/>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89"/>
      <c r="CD548" s="89"/>
      <c r="CE548" s="89"/>
      <c r="CF548" s="89"/>
      <c r="CG548" s="89"/>
      <c r="CH548" s="89"/>
      <c r="CI548" s="89"/>
      <c r="CJ548" s="89"/>
      <c r="CK548" s="89"/>
      <c r="CL548" s="89"/>
      <c r="CM548" s="89"/>
      <c r="CN548" s="89"/>
      <c r="CO548" s="89"/>
      <c r="CP548" s="89"/>
      <c r="CQ548" s="89"/>
    </row>
    <row r="549" spans="1:95" s="8" customFormat="1" ht="15" hidden="1" customHeight="1" outlineLevel="1" x14ac:dyDescent="0.25">
      <c r="A549" s="89"/>
      <c r="B549" s="92" t="s">
        <v>16</v>
      </c>
      <c r="C549" s="139"/>
      <c r="D549" s="140">
        <f t="shared" ref="D549:Q549" si="148">Forecast_without_45_with_xx*Without_45_with_xx_dementia_value</f>
        <v>0</v>
      </c>
      <c r="E549" s="140">
        <f t="shared" si="148"/>
        <v>0</v>
      </c>
      <c r="F549" s="140">
        <f t="shared" si="148"/>
        <v>0</v>
      </c>
      <c r="G549" s="140">
        <f t="shared" si="148"/>
        <v>0</v>
      </c>
      <c r="H549" s="140">
        <f t="shared" si="148"/>
        <v>0</v>
      </c>
      <c r="I549" s="140">
        <f t="shared" si="148"/>
        <v>0</v>
      </c>
      <c r="J549" s="140">
        <f t="shared" si="148"/>
        <v>0</v>
      </c>
      <c r="K549" s="140">
        <f t="shared" si="148"/>
        <v>0</v>
      </c>
      <c r="L549" s="140">
        <f t="shared" si="148"/>
        <v>0</v>
      </c>
      <c r="M549" s="140">
        <f t="shared" si="148"/>
        <v>0</v>
      </c>
      <c r="N549" s="140">
        <f t="shared" si="148"/>
        <v>0</v>
      </c>
      <c r="O549" s="140">
        <f t="shared" si="148"/>
        <v>0</v>
      </c>
      <c r="P549" s="140">
        <f t="shared" si="148"/>
        <v>0</v>
      </c>
      <c r="Q549" s="140">
        <f t="shared" si="148"/>
        <v>0</v>
      </c>
      <c r="R549" s="26" t="s">
        <v>386</v>
      </c>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89"/>
      <c r="CD549" s="89"/>
      <c r="CE549" s="89"/>
      <c r="CF549" s="89"/>
      <c r="CG549" s="89"/>
      <c r="CH549" s="89"/>
      <c r="CI549" s="89"/>
      <c r="CJ549" s="89"/>
      <c r="CK549" s="89"/>
      <c r="CL549" s="89"/>
      <c r="CM549" s="89"/>
      <c r="CN549" s="89"/>
      <c r="CO549" s="89"/>
      <c r="CP549" s="89"/>
      <c r="CQ549" s="89"/>
    </row>
    <row r="550" spans="1:95" s="8" customFormat="1" ht="15" hidden="1" customHeight="1" outlineLevel="1" x14ac:dyDescent="0.25">
      <c r="A550" s="89"/>
      <c r="B550" s="135" t="s">
        <v>17</v>
      </c>
      <c r="C550" s="141"/>
      <c r="D550" s="140">
        <f t="shared" ref="D550:Q550" si="149">Forecast_without_45_48_with_xx*Without_45_48_with_xx_dementia_value</f>
        <v>0</v>
      </c>
      <c r="E550" s="140">
        <f t="shared" si="149"/>
        <v>0</v>
      </c>
      <c r="F550" s="140">
        <f t="shared" si="149"/>
        <v>-7476.5028484429822</v>
      </c>
      <c r="G550" s="140">
        <f t="shared" si="149"/>
        <v>-954.55085855027414</v>
      </c>
      <c r="H550" s="140">
        <f t="shared" si="149"/>
        <v>-1389.3185250237605</v>
      </c>
      <c r="I550" s="140">
        <f t="shared" si="149"/>
        <v>-1106.8201243357512</v>
      </c>
      <c r="J550" s="140">
        <f t="shared" si="149"/>
        <v>-51.853374254461016</v>
      </c>
      <c r="K550" s="140">
        <f t="shared" si="149"/>
        <v>0</v>
      </c>
      <c r="L550" s="140">
        <f t="shared" si="149"/>
        <v>0</v>
      </c>
      <c r="M550" s="140">
        <f t="shared" si="149"/>
        <v>0</v>
      </c>
      <c r="N550" s="140">
        <f t="shared" si="149"/>
        <v>0</v>
      </c>
      <c r="O550" s="140">
        <f t="shared" si="149"/>
        <v>0</v>
      </c>
      <c r="P550" s="140">
        <f t="shared" si="149"/>
        <v>0</v>
      </c>
      <c r="Q550" s="140">
        <f t="shared" si="149"/>
        <v>0</v>
      </c>
      <c r="R550" s="26" t="s">
        <v>387</v>
      </c>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89"/>
      <c r="CD550" s="89"/>
      <c r="CE550" s="89"/>
      <c r="CF550" s="89"/>
      <c r="CG550" s="89"/>
      <c r="CH550" s="89"/>
      <c r="CI550" s="89"/>
      <c r="CJ550" s="89"/>
      <c r="CK550" s="89"/>
      <c r="CL550" s="89"/>
      <c r="CM550" s="89"/>
      <c r="CN550" s="89"/>
      <c r="CO550" s="89"/>
      <c r="CP550" s="89"/>
      <c r="CQ550" s="89"/>
    </row>
    <row r="551" spans="1:95" s="8" customFormat="1" ht="15" hidden="1" customHeight="1" outlineLevel="1" x14ac:dyDescent="0.25">
      <c r="A551" s="89"/>
      <c r="B551" s="135" t="s">
        <v>18</v>
      </c>
      <c r="C551" s="141"/>
      <c r="D551" s="140">
        <f t="shared" ref="D551:Q551" si="150">Forecast_without_48_51_with_xx*Without_48_51_with_xx_dementia_value</f>
        <v>0</v>
      </c>
      <c r="E551" s="140">
        <f t="shared" si="150"/>
        <v>0</v>
      </c>
      <c r="F551" s="140">
        <f t="shared" si="150"/>
        <v>0</v>
      </c>
      <c r="G551" s="140">
        <f t="shared" si="150"/>
        <v>-12826.922123521788</v>
      </c>
      <c r="H551" s="140">
        <f t="shared" si="150"/>
        <v>-2778.8197668671332</v>
      </c>
      <c r="I551" s="140">
        <f t="shared" si="150"/>
        <v>-192.99778785371137</v>
      </c>
      <c r="J551" s="140">
        <f t="shared" si="150"/>
        <v>-43.02633429171842</v>
      </c>
      <c r="K551" s="140">
        <f t="shared" si="150"/>
        <v>-107.91221877905528</v>
      </c>
      <c r="L551" s="140">
        <f t="shared" si="150"/>
        <v>0</v>
      </c>
      <c r="M551" s="140">
        <f t="shared" si="150"/>
        <v>-152.0534943940859</v>
      </c>
      <c r="N551" s="140">
        <f t="shared" si="150"/>
        <v>0</v>
      </c>
      <c r="O551" s="140">
        <f t="shared" si="150"/>
        <v>0</v>
      </c>
      <c r="P551" s="140">
        <f t="shared" si="150"/>
        <v>0</v>
      </c>
      <c r="Q551" s="140">
        <f t="shared" si="150"/>
        <v>0</v>
      </c>
      <c r="R551" s="26" t="s">
        <v>388</v>
      </c>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row>
    <row r="552" spans="1:95" s="8" customFormat="1" ht="15" hidden="1" customHeight="1" outlineLevel="1" x14ac:dyDescent="0.25">
      <c r="A552" s="89"/>
      <c r="B552" s="135" t="s">
        <v>19</v>
      </c>
      <c r="C552" s="141"/>
      <c r="D552" s="140">
        <f t="shared" ref="D552:Q552" si="151">Forecast_without_51_54_with_xx*Without_51_54_with_xx_dementia_value</f>
        <v>0</v>
      </c>
      <c r="E552" s="140">
        <f t="shared" si="151"/>
        <v>0</v>
      </c>
      <c r="F552" s="140">
        <f t="shared" si="151"/>
        <v>31.960769410768577</v>
      </c>
      <c r="G552" s="140">
        <f t="shared" si="151"/>
        <v>0</v>
      </c>
      <c r="H552" s="140">
        <f t="shared" si="151"/>
        <v>-9596.1424438341746</v>
      </c>
      <c r="I552" s="140">
        <f t="shared" si="151"/>
        <v>-1721.0166537623227</v>
      </c>
      <c r="J552" s="140">
        <f t="shared" si="151"/>
        <v>-906.43684566760908</v>
      </c>
      <c r="K552" s="140">
        <f t="shared" si="151"/>
        <v>-779.44535254688606</v>
      </c>
      <c r="L552" s="140">
        <f t="shared" si="151"/>
        <v>-597.32750515624218</v>
      </c>
      <c r="M552" s="140">
        <f t="shared" si="151"/>
        <v>-130.74631478690685</v>
      </c>
      <c r="N552" s="140">
        <f t="shared" si="151"/>
        <v>-153.02992778807874</v>
      </c>
      <c r="O552" s="140">
        <f t="shared" si="151"/>
        <v>-350.89758143943618</v>
      </c>
      <c r="P552" s="140">
        <f t="shared" si="151"/>
        <v>0</v>
      </c>
      <c r="Q552" s="140">
        <f t="shared" si="151"/>
        <v>0</v>
      </c>
      <c r="R552" s="26" t="s">
        <v>389</v>
      </c>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89"/>
      <c r="CD552" s="89"/>
      <c r="CE552" s="89"/>
      <c r="CF552" s="89"/>
      <c r="CG552" s="89"/>
      <c r="CH552" s="89"/>
      <c r="CI552" s="89"/>
      <c r="CJ552" s="89"/>
      <c r="CK552" s="89"/>
      <c r="CL552" s="89"/>
      <c r="CM552" s="89"/>
      <c r="CN552" s="89"/>
      <c r="CO552" s="89"/>
      <c r="CP552" s="89"/>
      <c r="CQ552" s="89"/>
    </row>
    <row r="553" spans="1:95" s="8" customFormat="1" ht="15" hidden="1" customHeight="1" outlineLevel="1" x14ac:dyDescent="0.25">
      <c r="A553" s="89"/>
      <c r="B553" s="135" t="s">
        <v>20</v>
      </c>
      <c r="C553" s="141"/>
      <c r="D553" s="140">
        <f t="shared" ref="D553:Q553" si="152">Forecast_without_54_57_with_xx*Without_54_57_with_xx_dementia_value</f>
        <v>0</v>
      </c>
      <c r="E553" s="140">
        <f t="shared" si="152"/>
        <v>0</v>
      </c>
      <c r="F553" s="140">
        <f t="shared" si="152"/>
        <v>0</v>
      </c>
      <c r="G553" s="140">
        <f t="shared" si="152"/>
        <v>64.331681187715134</v>
      </c>
      <c r="H553" s="140">
        <f t="shared" si="152"/>
        <v>0</v>
      </c>
      <c r="I553" s="140">
        <f t="shared" si="152"/>
        <v>-2665.3180429302311</v>
      </c>
      <c r="J553" s="140">
        <f t="shared" si="152"/>
        <v>-346.41276197615525</v>
      </c>
      <c r="K553" s="140">
        <f t="shared" si="152"/>
        <v>0</v>
      </c>
      <c r="L553" s="140">
        <f t="shared" si="152"/>
        <v>-43.580553604130095</v>
      </c>
      <c r="M553" s="140">
        <f t="shared" si="152"/>
        <v>-109.30242105766847</v>
      </c>
      <c r="N553" s="140">
        <f t="shared" si="152"/>
        <v>0</v>
      </c>
      <c r="O553" s="140">
        <f t="shared" si="152"/>
        <v>0</v>
      </c>
      <c r="P553" s="140">
        <f t="shared" si="152"/>
        <v>0</v>
      </c>
      <c r="Q553" s="140">
        <f t="shared" si="152"/>
        <v>0</v>
      </c>
      <c r="R553" s="26" t="s">
        <v>390</v>
      </c>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89"/>
      <c r="CD553" s="89"/>
      <c r="CE553" s="89"/>
      <c r="CF553" s="89"/>
      <c r="CG553" s="89"/>
      <c r="CH553" s="89"/>
      <c r="CI553" s="89"/>
      <c r="CJ553" s="89"/>
      <c r="CK553" s="89"/>
      <c r="CL553" s="89"/>
      <c r="CM553" s="89"/>
      <c r="CN553" s="89"/>
      <c r="CO553" s="89"/>
      <c r="CP553" s="89"/>
      <c r="CQ553" s="89"/>
    </row>
    <row r="554" spans="1:95" s="8" customFormat="1" ht="15" hidden="1" customHeight="1" outlineLevel="1" x14ac:dyDescent="0.25">
      <c r="A554" s="89"/>
      <c r="B554" s="135" t="s">
        <v>21</v>
      </c>
      <c r="C554" s="141"/>
      <c r="D554" s="140">
        <f t="shared" ref="D554:Q554" si="153">Forecast_without_57_60_with_xx*Without_57_60_with_xx_dementia_value</f>
        <v>0</v>
      </c>
      <c r="E554" s="140">
        <f t="shared" si="153"/>
        <v>0</v>
      </c>
      <c r="F554" s="140">
        <f t="shared" si="153"/>
        <v>0</v>
      </c>
      <c r="G554" s="140">
        <f t="shared" si="153"/>
        <v>0</v>
      </c>
      <c r="H554" s="140">
        <f t="shared" si="153"/>
        <v>345.30436183711498</v>
      </c>
      <c r="I554" s="140">
        <f t="shared" si="153"/>
        <v>0</v>
      </c>
      <c r="J554" s="140">
        <f t="shared" si="153"/>
        <v>-1498.6850116217806</v>
      </c>
      <c r="K554" s="140">
        <f t="shared" si="153"/>
        <v>-196.10830272518172</v>
      </c>
      <c r="L554" s="140">
        <f t="shared" si="153"/>
        <v>-65.579584593440501</v>
      </c>
      <c r="M554" s="140">
        <f t="shared" si="153"/>
        <v>-87.720898442848778</v>
      </c>
      <c r="N554" s="140">
        <f t="shared" si="153"/>
        <v>0</v>
      </c>
      <c r="O554" s="140">
        <f t="shared" si="153"/>
        <v>0</v>
      </c>
      <c r="P554" s="140">
        <f t="shared" si="153"/>
        <v>0</v>
      </c>
      <c r="Q554" s="140">
        <f t="shared" si="153"/>
        <v>0</v>
      </c>
      <c r="R554" s="26" t="s">
        <v>391</v>
      </c>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89"/>
      <c r="CD554" s="89"/>
      <c r="CE554" s="89"/>
      <c r="CF554" s="89"/>
      <c r="CG554" s="89"/>
      <c r="CH554" s="89"/>
      <c r="CI554" s="89"/>
      <c r="CJ554" s="89"/>
      <c r="CK554" s="89"/>
      <c r="CL554" s="89"/>
      <c r="CM554" s="89"/>
      <c r="CN554" s="89"/>
      <c r="CO554" s="89"/>
      <c r="CP554" s="89"/>
      <c r="CQ554" s="89"/>
    </row>
    <row r="555" spans="1:95" s="8" customFormat="1" ht="15" hidden="1" customHeight="1" outlineLevel="1" x14ac:dyDescent="0.25">
      <c r="A555" s="89"/>
      <c r="B555" s="135" t="s">
        <v>22</v>
      </c>
      <c r="C555" s="141"/>
      <c r="D555" s="140">
        <f t="shared" ref="D555:Q555" si="154">Forecast_without_60_63_with_xx*Without_60_63_with_xx_dementia_value</f>
        <v>0</v>
      </c>
      <c r="E555" s="140">
        <f t="shared" si="154"/>
        <v>0</v>
      </c>
      <c r="F555" s="140">
        <f t="shared" si="154"/>
        <v>0</v>
      </c>
      <c r="G555" s="140">
        <f t="shared" si="154"/>
        <v>0</v>
      </c>
      <c r="H555" s="140">
        <f t="shared" si="154"/>
        <v>0</v>
      </c>
      <c r="I555" s="140">
        <f t="shared" si="154"/>
        <v>868.80290528798878</v>
      </c>
      <c r="J555" s="140">
        <f t="shared" si="154"/>
        <v>0</v>
      </c>
      <c r="K555" s="140">
        <f t="shared" si="154"/>
        <v>-1792.483116040712</v>
      </c>
      <c r="L555" s="140">
        <f t="shared" si="154"/>
        <v>-394.73560765116707</v>
      </c>
      <c r="M555" s="140">
        <f t="shared" si="154"/>
        <v>-33.000412905324531</v>
      </c>
      <c r="N555" s="140">
        <f t="shared" si="154"/>
        <v>0</v>
      </c>
      <c r="O555" s="140">
        <f t="shared" si="154"/>
        <v>0</v>
      </c>
      <c r="P555" s="140">
        <f t="shared" si="154"/>
        <v>0</v>
      </c>
      <c r="Q555" s="140">
        <f t="shared" si="154"/>
        <v>0</v>
      </c>
      <c r="R555" s="26" t="s">
        <v>392</v>
      </c>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89"/>
      <c r="CD555" s="89"/>
      <c r="CE555" s="89"/>
      <c r="CF555" s="89"/>
      <c r="CG555" s="89"/>
      <c r="CH555" s="89"/>
      <c r="CI555" s="89"/>
      <c r="CJ555" s="89"/>
      <c r="CK555" s="89"/>
      <c r="CL555" s="89"/>
      <c r="CM555" s="89"/>
      <c r="CN555" s="89"/>
      <c r="CO555" s="89"/>
      <c r="CP555" s="89"/>
      <c r="CQ555" s="89"/>
    </row>
    <row r="556" spans="1:95" s="8" customFormat="1" ht="15" hidden="1" customHeight="1" outlineLevel="1" x14ac:dyDescent="0.25">
      <c r="A556" s="89"/>
      <c r="B556" s="135" t="s">
        <v>23</v>
      </c>
      <c r="C556" s="141"/>
      <c r="D556" s="140">
        <f t="shared" ref="D556:Q556" si="155">Forecast_without_63_66_with_xx*Without_63_66_with_xx_dementia_value</f>
        <v>0</v>
      </c>
      <c r="E556" s="140">
        <f t="shared" si="155"/>
        <v>0</v>
      </c>
      <c r="F556" s="140">
        <f t="shared" si="155"/>
        <v>0</v>
      </c>
      <c r="G556" s="140">
        <f t="shared" si="155"/>
        <v>0</v>
      </c>
      <c r="H556" s="140">
        <f t="shared" si="155"/>
        <v>0</v>
      </c>
      <c r="I556" s="140">
        <f t="shared" si="155"/>
        <v>1133.0701935232721</v>
      </c>
      <c r="J556" s="140">
        <f t="shared" si="155"/>
        <v>76.50842568466453</v>
      </c>
      <c r="K556" s="140">
        <f t="shared" si="155"/>
        <v>0</v>
      </c>
      <c r="L556" s="140">
        <f t="shared" si="155"/>
        <v>-1605.9972088904312</v>
      </c>
      <c r="M556" s="140">
        <f t="shared" si="155"/>
        <v>-88.282551230061244</v>
      </c>
      <c r="N556" s="140">
        <f t="shared" si="155"/>
        <v>0</v>
      </c>
      <c r="O556" s="140">
        <f t="shared" si="155"/>
        <v>0</v>
      </c>
      <c r="P556" s="140">
        <f t="shared" si="155"/>
        <v>0</v>
      </c>
      <c r="Q556" s="140">
        <f t="shared" si="155"/>
        <v>0</v>
      </c>
      <c r="R556" s="26" t="s">
        <v>393</v>
      </c>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89"/>
      <c r="CD556" s="89"/>
      <c r="CE556" s="89"/>
      <c r="CF556" s="89"/>
      <c r="CG556" s="89"/>
      <c r="CH556" s="89"/>
      <c r="CI556" s="89"/>
      <c r="CJ556" s="89"/>
      <c r="CK556" s="89"/>
      <c r="CL556" s="89"/>
      <c r="CM556" s="89"/>
      <c r="CN556" s="89"/>
      <c r="CO556" s="89"/>
      <c r="CP556" s="89"/>
      <c r="CQ556" s="89"/>
    </row>
    <row r="557" spans="1:95" s="8" customFormat="1" ht="15" hidden="1" customHeight="1" outlineLevel="1" x14ac:dyDescent="0.25">
      <c r="A557" s="89"/>
      <c r="B557" s="135" t="s">
        <v>24</v>
      </c>
      <c r="C557" s="141"/>
      <c r="D557" s="140">
        <f t="shared" ref="D557:Q557" si="156">Forecast_without_66_69_with_xx*Without_66_69_with_xx_dementia_value</f>
        <v>0</v>
      </c>
      <c r="E557" s="140">
        <f t="shared" si="156"/>
        <v>0</v>
      </c>
      <c r="F557" s="140">
        <f t="shared" si="156"/>
        <v>0</v>
      </c>
      <c r="G557" s="140">
        <f t="shared" si="156"/>
        <v>0</v>
      </c>
      <c r="H557" s="140">
        <f t="shared" si="156"/>
        <v>0</v>
      </c>
      <c r="I557" s="140">
        <f t="shared" si="156"/>
        <v>0</v>
      </c>
      <c r="J557" s="140">
        <f t="shared" si="156"/>
        <v>0</v>
      </c>
      <c r="K557" s="140">
        <f t="shared" si="156"/>
        <v>692.99879561710384</v>
      </c>
      <c r="L557" s="140">
        <f t="shared" si="156"/>
        <v>0</v>
      </c>
      <c r="M557" s="140">
        <f t="shared" si="156"/>
        <v>-298.90773696701172</v>
      </c>
      <c r="N557" s="140">
        <f t="shared" si="156"/>
        <v>-44.42492685058015</v>
      </c>
      <c r="O557" s="140">
        <f t="shared" si="156"/>
        <v>0</v>
      </c>
      <c r="P557" s="140">
        <f t="shared" si="156"/>
        <v>0</v>
      </c>
      <c r="Q557" s="140">
        <f t="shared" si="156"/>
        <v>0</v>
      </c>
      <c r="R557" s="26" t="s">
        <v>394</v>
      </c>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89"/>
      <c r="CD557" s="89"/>
      <c r="CE557" s="89"/>
      <c r="CF557" s="89"/>
      <c r="CG557" s="89"/>
      <c r="CH557" s="89"/>
      <c r="CI557" s="89"/>
      <c r="CJ557" s="89"/>
      <c r="CK557" s="89"/>
      <c r="CL557" s="89"/>
      <c r="CM557" s="89"/>
      <c r="CN557" s="89"/>
      <c r="CO557" s="89"/>
      <c r="CP557" s="89"/>
      <c r="CQ557" s="89"/>
    </row>
    <row r="558" spans="1:95" s="8" customFormat="1" ht="15" hidden="1" customHeight="1" outlineLevel="1" x14ac:dyDescent="0.25">
      <c r="A558" s="89"/>
      <c r="B558" s="135" t="s">
        <v>25</v>
      </c>
      <c r="C558" s="141"/>
      <c r="D558" s="140">
        <f t="shared" ref="D558:Q558" si="157">Forecast_without_69_72_with_xx*Without_69_72_with_xx_dementia_value</f>
        <v>0</v>
      </c>
      <c r="E558" s="140">
        <f t="shared" si="157"/>
        <v>0</v>
      </c>
      <c r="F558" s="140">
        <f t="shared" si="157"/>
        <v>0</v>
      </c>
      <c r="G558" s="140">
        <f t="shared" si="157"/>
        <v>0</v>
      </c>
      <c r="H558" s="140">
        <f t="shared" si="157"/>
        <v>0</v>
      </c>
      <c r="I558" s="140">
        <f t="shared" si="157"/>
        <v>0</v>
      </c>
      <c r="J558" s="140">
        <f t="shared" si="157"/>
        <v>0</v>
      </c>
      <c r="K558" s="140">
        <f t="shared" si="157"/>
        <v>0</v>
      </c>
      <c r="L558" s="140">
        <f t="shared" si="157"/>
        <v>376.40233543994066</v>
      </c>
      <c r="M558" s="140">
        <f t="shared" si="157"/>
        <v>0</v>
      </c>
      <c r="N558" s="140">
        <f t="shared" si="157"/>
        <v>-412.24684052167976</v>
      </c>
      <c r="O558" s="140">
        <f t="shared" si="157"/>
        <v>0</v>
      </c>
      <c r="P558" s="140">
        <f t="shared" si="157"/>
        <v>0</v>
      </c>
      <c r="Q558" s="140">
        <f t="shared" si="157"/>
        <v>0</v>
      </c>
      <c r="R558" s="26" t="s">
        <v>395</v>
      </c>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89"/>
      <c r="CD558" s="89"/>
      <c r="CE558" s="89"/>
      <c r="CF558" s="89"/>
      <c r="CG558" s="89"/>
      <c r="CH558" s="89"/>
      <c r="CI558" s="89"/>
      <c r="CJ558" s="89"/>
      <c r="CK558" s="89"/>
      <c r="CL558" s="89"/>
      <c r="CM558" s="89"/>
      <c r="CN558" s="89"/>
      <c r="CO558" s="89"/>
      <c r="CP558" s="89"/>
      <c r="CQ558" s="89"/>
    </row>
    <row r="559" spans="1:95" s="8" customFormat="1" ht="15" hidden="1" customHeight="1" outlineLevel="1" x14ac:dyDescent="0.25">
      <c r="A559" s="89"/>
      <c r="B559" s="135" t="s">
        <v>26</v>
      </c>
      <c r="C559" s="141"/>
      <c r="D559" s="140">
        <f t="shared" ref="D559:Q559" si="158">Forecast_without_72_75_with_xx*Without_72_75_with_xx_dementia_value</f>
        <v>0</v>
      </c>
      <c r="E559" s="140">
        <f t="shared" si="158"/>
        <v>0</v>
      </c>
      <c r="F559" s="140">
        <f t="shared" si="158"/>
        <v>0</v>
      </c>
      <c r="G559" s="140">
        <f t="shared" si="158"/>
        <v>0</v>
      </c>
      <c r="H559" s="140">
        <f t="shared" si="158"/>
        <v>0</v>
      </c>
      <c r="I559" s="140">
        <f t="shared" si="158"/>
        <v>0</v>
      </c>
      <c r="J559" s="140">
        <f t="shared" si="158"/>
        <v>0</v>
      </c>
      <c r="K559" s="140">
        <f t="shared" si="158"/>
        <v>0</v>
      </c>
      <c r="L559" s="140">
        <f t="shared" si="158"/>
        <v>0</v>
      </c>
      <c r="M559" s="140">
        <f t="shared" si="158"/>
        <v>412.24684052167976</v>
      </c>
      <c r="N559" s="140">
        <f t="shared" si="158"/>
        <v>0</v>
      </c>
      <c r="O559" s="140">
        <f t="shared" si="158"/>
        <v>-78.466020260737707</v>
      </c>
      <c r="P559" s="140">
        <f t="shared" si="158"/>
        <v>-22.434824223426936</v>
      </c>
      <c r="Q559" s="140">
        <f t="shared" si="158"/>
        <v>0</v>
      </c>
      <c r="R559" s="26" t="s">
        <v>396</v>
      </c>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89"/>
      <c r="CD559" s="89"/>
      <c r="CE559" s="89"/>
      <c r="CF559" s="89"/>
      <c r="CG559" s="89"/>
      <c r="CH559" s="89"/>
      <c r="CI559" s="89"/>
      <c r="CJ559" s="89"/>
      <c r="CK559" s="89"/>
      <c r="CL559" s="89"/>
      <c r="CM559" s="89"/>
      <c r="CN559" s="89"/>
      <c r="CO559" s="89"/>
      <c r="CP559" s="89"/>
      <c r="CQ559" s="89"/>
    </row>
    <row r="560" spans="1:95" s="8" customFormat="1" ht="15" hidden="1" customHeight="1" outlineLevel="1" x14ac:dyDescent="0.25">
      <c r="A560" s="89"/>
      <c r="B560" s="135" t="s">
        <v>27</v>
      </c>
      <c r="C560" s="141"/>
      <c r="D560" s="140">
        <f t="shared" ref="D560:Q560" si="159">Forecast_without_75_78_with_xx*Without_75_78_with_xx_dementia_value</f>
        <v>0</v>
      </c>
      <c r="E560" s="140">
        <f t="shared" si="159"/>
        <v>0</v>
      </c>
      <c r="F560" s="140">
        <f t="shared" si="159"/>
        <v>0</v>
      </c>
      <c r="G560" s="140">
        <f t="shared" si="159"/>
        <v>0</v>
      </c>
      <c r="H560" s="140">
        <f t="shared" si="159"/>
        <v>0</v>
      </c>
      <c r="I560" s="140">
        <f t="shared" si="159"/>
        <v>0</v>
      </c>
      <c r="J560" s="140">
        <f t="shared" si="159"/>
        <v>0</v>
      </c>
      <c r="K560" s="140">
        <f t="shared" si="159"/>
        <v>0</v>
      </c>
      <c r="L560" s="140">
        <f t="shared" si="159"/>
        <v>0</v>
      </c>
      <c r="M560" s="140">
        <f t="shared" si="159"/>
        <v>0</v>
      </c>
      <c r="N560" s="140">
        <f t="shared" si="159"/>
        <v>33.628294397459015</v>
      </c>
      <c r="O560" s="140">
        <f t="shared" si="159"/>
        <v>0</v>
      </c>
      <c r="P560" s="140">
        <f t="shared" si="159"/>
        <v>0</v>
      </c>
      <c r="Q560" s="140">
        <f t="shared" si="159"/>
        <v>0</v>
      </c>
      <c r="R560" s="26" t="s">
        <v>397</v>
      </c>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row>
    <row r="561" spans="1:95" s="8" customFormat="1" ht="15" hidden="1" customHeight="1" outlineLevel="1" x14ac:dyDescent="0.25">
      <c r="A561" s="89"/>
      <c r="B561" s="135" t="s">
        <v>28</v>
      </c>
      <c r="C561" s="141"/>
      <c r="D561" s="140">
        <f t="shared" ref="D561:Q561" si="160">Forecast_without_78_81_with_xx*Without_78_81_with_xx_dementia_value</f>
        <v>0</v>
      </c>
      <c r="E561" s="140">
        <f t="shared" si="160"/>
        <v>0</v>
      </c>
      <c r="F561" s="140">
        <f t="shared" si="160"/>
        <v>0</v>
      </c>
      <c r="G561" s="140">
        <f t="shared" si="160"/>
        <v>0</v>
      </c>
      <c r="H561" s="140">
        <f t="shared" si="160"/>
        <v>0</v>
      </c>
      <c r="I561" s="140">
        <f t="shared" si="160"/>
        <v>0</v>
      </c>
      <c r="J561" s="140">
        <f t="shared" si="160"/>
        <v>0</v>
      </c>
      <c r="K561" s="140">
        <f t="shared" si="160"/>
        <v>0</v>
      </c>
      <c r="L561" s="140">
        <f t="shared" si="160"/>
        <v>0</v>
      </c>
      <c r="M561" s="140">
        <f t="shared" si="160"/>
        <v>0</v>
      </c>
      <c r="N561" s="140">
        <f t="shared" si="160"/>
        <v>0</v>
      </c>
      <c r="O561" s="140">
        <f t="shared" si="160"/>
        <v>0</v>
      </c>
      <c r="P561" s="140">
        <f t="shared" si="160"/>
        <v>0</v>
      </c>
      <c r="Q561" s="140">
        <f t="shared" si="160"/>
        <v>0</v>
      </c>
      <c r="R561" s="26" t="s">
        <v>398</v>
      </c>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c r="CD561" s="89"/>
      <c r="CE561" s="89"/>
      <c r="CF561" s="89"/>
      <c r="CG561" s="89"/>
      <c r="CH561" s="89"/>
      <c r="CI561" s="89"/>
      <c r="CJ561" s="89"/>
      <c r="CK561" s="89"/>
      <c r="CL561" s="89"/>
      <c r="CM561" s="89"/>
      <c r="CN561" s="89"/>
      <c r="CO561" s="89"/>
      <c r="CP561" s="89"/>
      <c r="CQ561" s="89"/>
    </row>
    <row r="562" spans="1:95" s="8" customFormat="1" ht="15" hidden="1" customHeight="1" outlineLevel="1" x14ac:dyDescent="0.25">
      <c r="A562" s="89"/>
      <c r="B562" s="135" t="s">
        <v>29</v>
      </c>
      <c r="C562" s="142"/>
      <c r="D562" s="140">
        <f t="shared" ref="D562:Q562" si="161">Forecast_without_81_with_xx*Without_81_with_xx_dementia_value</f>
        <v>0</v>
      </c>
      <c r="E562" s="140">
        <f t="shared" si="161"/>
        <v>0</v>
      </c>
      <c r="F562" s="140">
        <f t="shared" si="161"/>
        <v>0</v>
      </c>
      <c r="G562" s="140">
        <f t="shared" si="161"/>
        <v>0</v>
      </c>
      <c r="H562" s="140">
        <f t="shared" si="161"/>
        <v>0</v>
      </c>
      <c r="I562" s="140">
        <f t="shared" si="161"/>
        <v>0</v>
      </c>
      <c r="J562" s="140">
        <f t="shared" si="161"/>
        <v>0</v>
      </c>
      <c r="K562" s="140">
        <f t="shared" si="161"/>
        <v>0</v>
      </c>
      <c r="L562" s="140">
        <f t="shared" si="161"/>
        <v>0</v>
      </c>
      <c r="M562" s="140">
        <f t="shared" si="161"/>
        <v>0</v>
      </c>
      <c r="N562" s="140">
        <f t="shared" si="161"/>
        <v>0</v>
      </c>
      <c r="O562" s="140">
        <f t="shared" si="161"/>
        <v>0</v>
      </c>
      <c r="P562" s="140">
        <f t="shared" si="161"/>
        <v>0</v>
      </c>
      <c r="Q562" s="140">
        <f t="shared" si="161"/>
        <v>0</v>
      </c>
      <c r="R562" s="26" t="s">
        <v>399</v>
      </c>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c r="CF562" s="89"/>
      <c r="CG562" s="89"/>
      <c r="CH562" s="89"/>
      <c r="CI562" s="89"/>
      <c r="CJ562" s="89"/>
      <c r="CK562" s="89"/>
      <c r="CL562" s="89"/>
      <c r="CM562" s="89"/>
      <c r="CN562" s="89"/>
      <c r="CO562" s="89"/>
      <c r="CP562" s="89"/>
      <c r="CQ562" s="89"/>
    </row>
    <row r="563" spans="1:95" s="8" customFormat="1" ht="15" hidden="1" customHeight="1" outlineLevel="1" x14ac:dyDescent="0.25">
      <c r="A563" s="89"/>
      <c r="B563" s="133"/>
      <c r="C563" s="133"/>
      <c r="D563" s="133"/>
      <c r="E563" s="133"/>
      <c r="F563" s="133"/>
      <c r="G563" s="133"/>
      <c r="H563" s="133"/>
      <c r="I563" s="133"/>
      <c r="J563" s="133"/>
      <c r="K563" s="133"/>
      <c r="L563" s="133"/>
      <c r="M563" s="133"/>
      <c r="N563" s="133"/>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c r="CD563" s="89"/>
      <c r="CE563" s="89"/>
      <c r="CF563" s="89"/>
      <c r="CG563" s="89"/>
      <c r="CH563" s="89"/>
      <c r="CI563" s="89"/>
      <c r="CJ563" s="89"/>
      <c r="CK563" s="89"/>
      <c r="CL563" s="89"/>
      <c r="CM563" s="89"/>
      <c r="CN563" s="89"/>
      <c r="CO563" s="89"/>
      <c r="CP563" s="89"/>
      <c r="CQ563" s="89"/>
    </row>
    <row r="564" spans="1:95" s="8" customFormat="1" ht="15" hidden="1" customHeight="1" outlineLevel="1" x14ac:dyDescent="0.25">
      <c r="A564" s="89"/>
      <c r="B564" s="169" t="s">
        <v>400</v>
      </c>
      <c r="C564" s="144">
        <f>SUM(Forecast_without_45_with_xx_dementia_cost,Forecast_without_45_48_with_xx_dementia_cost,Forecast_without_48_51_with_xx_dementia_cost,Forecast_without_51_54_with_xx_dementia_cost,Forecast_without_54_57_with_xx_dementia_cost,Forecast_without_57_60_with_xx_dementia_cost,Forecast_without_60_63_with_xx_dementia_cost,Forecast_without_63_66_with_xx_dementia_cost,Forecast_without_66_69_with_xx_dementia_cost,Forecast_without_69_72_with_xx_dementia_cost,Forecast_without_72_75_with_xx_dementia_cost,Forecast_without_75_78_with_xx_dementia_cost,Forecast_without_78_81_with_xx_dementia_cost,Forecast_without_81_with_xx_dementia_cost,)</f>
        <v>-47064.25230088125</v>
      </c>
      <c r="D564" s="30" t="s">
        <v>401</v>
      </c>
      <c r="E564" s="133"/>
      <c r="F564" s="133"/>
      <c r="G564" s="133"/>
      <c r="H564" s="133"/>
      <c r="I564" s="133"/>
      <c r="J564" s="133"/>
      <c r="K564" s="133"/>
      <c r="L564" s="133"/>
      <c r="M564" s="133"/>
      <c r="N564" s="133"/>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c r="CD564" s="89"/>
      <c r="CE564" s="89"/>
      <c r="CF564" s="89"/>
      <c r="CG564" s="89"/>
      <c r="CH564" s="89"/>
      <c r="CI564" s="89"/>
      <c r="CJ564" s="89"/>
      <c r="CK564" s="89"/>
      <c r="CL564" s="89"/>
      <c r="CM564" s="89"/>
      <c r="CN564" s="89"/>
      <c r="CO564" s="89"/>
      <c r="CP564" s="89"/>
      <c r="CQ564" s="89"/>
    </row>
    <row r="565" spans="1:95" s="8" customFormat="1" ht="15" hidden="1" customHeight="1" outlineLevel="1" x14ac:dyDescent="0.25">
      <c r="A565" s="89"/>
      <c r="B565" s="169"/>
      <c r="C565" s="133"/>
      <c r="D565" s="30"/>
      <c r="E565" s="133"/>
      <c r="F565" s="133"/>
      <c r="G565" s="133"/>
      <c r="H565" s="133"/>
      <c r="I565" s="133"/>
      <c r="J565" s="133"/>
      <c r="K565" s="133"/>
      <c r="L565" s="133"/>
      <c r="M565" s="133"/>
      <c r="N565" s="133"/>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c r="CD565" s="89"/>
      <c r="CE565" s="89"/>
      <c r="CF565" s="89"/>
      <c r="CG565" s="89"/>
      <c r="CH565" s="89"/>
      <c r="CI565" s="89"/>
      <c r="CJ565" s="89"/>
      <c r="CK565" s="89"/>
      <c r="CL565" s="89"/>
      <c r="CM565" s="89"/>
      <c r="CN565" s="89"/>
      <c r="CO565" s="89"/>
      <c r="CP565" s="89"/>
      <c r="CQ565" s="89"/>
    </row>
    <row r="566" spans="1:95" s="8" customFormat="1" ht="15" hidden="1" customHeight="1" outlineLevel="1" x14ac:dyDescent="0.25">
      <c r="A566" s="89"/>
      <c r="B566" s="169" t="s">
        <v>402</v>
      </c>
      <c r="C566" s="144">
        <f>Forecast_year_dementia_cost-Opening_year_dementia_cost</f>
        <v>5221.3527338099957</v>
      </c>
      <c r="D566" s="30" t="s">
        <v>403</v>
      </c>
      <c r="E566" s="133"/>
      <c r="F566" s="133"/>
      <c r="G566" s="133"/>
      <c r="H566" s="133"/>
      <c r="I566" s="133"/>
      <c r="J566" s="133"/>
      <c r="K566" s="133"/>
      <c r="L566" s="133"/>
      <c r="M566" s="133"/>
      <c r="N566" s="133"/>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c r="CD566" s="89"/>
      <c r="CE566" s="89"/>
      <c r="CF566" s="89"/>
      <c r="CG566" s="89"/>
      <c r="CH566" s="89"/>
      <c r="CI566" s="89"/>
      <c r="CJ566" s="89"/>
      <c r="CK566" s="89"/>
      <c r="CL566" s="89"/>
      <c r="CM566" s="89"/>
      <c r="CN566" s="89"/>
      <c r="CO566" s="89"/>
      <c r="CP566" s="89"/>
      <c r="CQ566" s="89"/>
    </row>
    <row r="567" spans="1:95" ht="15" hidden="1" outlineLevel="1" x14ac:dyDescent="0.25">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c r="AO567" s="131"/>
      <c r="AP567" s="131"/>
      <c r="AQ567" s="131"/>
      <c r="AR567" s="131"/>
      <c r="AS567" s="131"/>
      <c r="AT567" s="131"/>
      <c r="AU567" s="131"/>
      <c r="AV567" s="131"/>
      <c r="AW567" s="131"/>
      <c r="AX567" s="131"/>
      <c r="AY567" s="131"/>
      <c r="AZ567" s="131"/>
      <c r="BA567" s="131"/>
      <c r="BB567" s="131"/>
      <c r="BC567" s="131"/>
      <c r="BD567" s="131"/>
      <c r="BE567" s="131"/>
      <c r="BF567" s="131"/>
      <c r="BG567" s="131"/>
      <c r="BH567" s="131"/>
      <c r="BI567" s="131"/>
      <c r="BJ567" s="131"/>
      <c r="BK567" s="131"/>
      <c r="BL567" s="131"/>
      <c r="BM567" s="131"/>
      <c r="BN567" s="131"/>
      <c r="BO567" s="131"/>
      <c r="BP567" s="131"/>
      <c r="BQ567" s="131"/>
      <c r="BR567" s="131"/>
      <c r="BS567" s="131"/>
      <c r="BT567" s="131"/>
      <c r="BU567" s="131"/>
      <c r="BV567" s="131"/>
      <c r="BW567" s="131"/>
      <c r="BX567" s="131"/>
      <c r="BY567" s="131"/>
      <c r="BZ567" s="131"/>
      <c r="CA567" s="131"/>
      <c r="CB567" s="131"/>
      <c r="CC567" s="131"/>
      <c r="CD567" s="131"/>
      <c r="CE567" s="131"/>
      <c r="CF567" s="131"/>
      <c r="CG567" s="131"/>
      <c r="CH567" s="131"/>
      <c r="CI567" s="131"/>
      <c r="CJ567" s="131"/>
      <c r="CK567" s="131"/>
      <c r="CL567" s="131"/>
      <c r="CM567" s="131"/>
      <c r="CN567" s="131"/>
      <c r="CO567" s="131"/>
      <c r="CP567" s="131"/>
      <c r="CQ567" s="131"/>
    </row>
    <row r="568" spans="1:95" s="2" customFormat="1" ht="18.75" customHeight="1" collapsed="1" x14ac:dyDescent="0.3">
      <c r="B568" s="2" t="s">
        <v>404</v>
      </c>
    </row>
    <row r="569" spans="1:95" s="8" customFormat="1" ht="14.25" customHeight="1" x14ac:dyDescent="0.2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c r="BW569" s="89"/>
      <c r="BX569" s="89"/>
      <c r="BY569" s="89"/>
      <c r="BZ569" s="89"/>
      <c r="CA569" s="89"/>
      <c r="CB569" s="89"/>
      <c r="CC569" s="89"/>
      <c r="CD569" s="89"/>
      <c r="CE569" s="89"/>
      <c r="CF569" s="89"/>
      <c r="CG569" s="89"/>
      <c r="CH569" s="89"/>
      <c r="CI569" s="89"/>
      <c r="CJ569" s="89"/>
      <c r="CK569" s="89"/>
      <c r="CL569" s="89"/>
      <c r="CM569" s="89"/>
      <c r="CN569" s="89"/>
      <c r="CO569" s="89"/>
      <c r="CP569" s="89"/>
      <c r="CQ569" s="89"/>
    </row>
    <row r="570" spans="1:95" s="8" customFormat="1" ht="14.25" hidden="1" customHeight="1" outlineLevel="1" x14ac:dyDescent="0.25">
      <c r="A570" s="89"/>
      <c r="B570" s="89"/>
      <c r="C570" s="89"/>
      <c r="D570" s="31">
        <v>2010</v>
      </c>
      <c r="E570" s="31">
        <v>2011</v>
      </c>
      <c r="F570" s="31">
        <v>2012</v>
      </c>
      <c r="G570" s="31">
        <v>2013</v>
      </c>
      <c r="H570" s="31">
        <v>2014</v>
      </c>
      <c r="I570" s="31">
        <v>2015</v>
      </c>
      <c r="J570" s="31">
        <v>2016</v>
      </c>
      <c r="K570" s="31">
        <v>2017</v>
      </c>
      <c r="L570" s="31">
        <v>2018</v>
      </c>
      <c r="M570" s="31">
        <v>2019</v>
      </c>
      <c r="N570" s="31">
        <v>2020</v>
      </c>
      <c r="O570" s="31">
        <v>2021</v>
      </c>
      <c r="P570" s="31">
        <v>2022</v>
      </c>
      <c r="Q570" s="31">
        <v>2023</v>
      </c>
      <c r="R570" s="31">
        <v>2024</v>
      </c>
      <c r="S570" s="31">
        <v>2025</v>
      </c>
      <c r="T570" s="31">
        <v>2026</v>
      </c>
      <c r="U570" s="31">
        <v>2027</v>
      </c>
      <c r="V570" s="31">
        <v>2028</v>
      </c>
      <c r="W570" s="31">
        <v>2029</v>
      </c>
      <c r="X570" s="31">
        <v>2030</v>
      </c>
      <c r="Y570" s="31">
        <v>2031</v>
      </c>
      <c r="Z570" s="31">
        <v>2032</v>
      </c>
      <c r="AA570" s="31">
        <v>2033</v>
      </c>
      <c r="AB570" s="31">
        <v>2034</v>
      </c>
      <c r="AC570" s="31">
        <v>2035</v>
      </c>
      <c r="AD570" s="31">
        <v>2036</v>
      </c>
      <c r="AE570" s="31">
        <v>2037</v>
      </c>
      <c r="AF570" s="31">
        <v>2038</v>
      </c>
      <c r="AG570" s="31">
        <v>2039</v>
      </c>
      <c r="AH570" s="31">
        <v>2040</v>
      </c>
      <c r="AI570" s="31">
        <v>2041</v>
      </c>
      <c r="AJ570" s="31">
        <v>2042</v>
      </c>
      <c r="AK570" s="31">
        <v>2043</v>
      </c>
      <c r="AL570" s="31">
        <v>2044</v>
      </c>
      <c r="AM570" s="31">
        <v>2045</v>
      </c>
      <c r="AN570" s="31">
        <v>2046</v>
      </c>
      <c r="AO570" s="31">
        <v>2047</v>
      </c>
      <c r="AP570" s="31">
        <v>2048</v>
      </c>
      <c r="AQ570" s="31">
        <v>2049</v>
      </c>
      <c r="AR570" s="31">
        <v>2050</v>
      </c>
      <c r="AS570" s="31">
        <v>2051</v>
      </c>
      <c r="AT570" s="31">
        <v>2052</v>
      </c>
      <c r="AU570" s="31">
        <v>2053</v>
      </c>
      <c r="AV570" s="31">
        <v>2054</v>
      </c>
      <c r="AW570" s="31">
        <v>2055</v>
      </c>
      <c r="AX570" s="31">
        <v>2056</v>
      </c>
      <c r="AY570" s="31">
        <v>2057</v>
      </c>
      <c r="AZ570" s="31">
        <v>2058</v>
      </c>
      <c r="BA570" s="31">
        <v>2059</v>
      </c>
      <c r="BB570" s="31">
        <v>2060</v>
      </c>
      <c r="BC570" s="31">
        <v>2061</v>
      </c>
      <c r="BD570" s="31">
        <v>2062</v>
      </c>
      <c r="BE570" s="31">
        <v>2063</v>
      </c>
      <c r="BF570" s="31">
        <v>2064</v>
      </c>
      <c r="BG570" s="31">
        <v>2065</v>
      </c>
      <c r="BH570" s="31">
        <v>2066</v>
      </c>
      <c r="BI570" s="31">
        <v>2067</v>
      </c>
      <c r="BJ570" s="31">
        <v>2068</v>
      </c>
      <c r="BK570" s="31">
        <v>2069</v>
      </c>
      <c r="BL570" s="31">
        <v>2070</v>
      </c>
      <c r="BM570" s="31">
        <v>2071</v>
      </c>
      <c r="BN570" s="31">
        <v>2072</v>
      </c>
      <c r="BO570" s="31">
        <v>2073</v>
      </c>
      <c r="BP570" s="31">
        <v>2074</v>
      </c>
      <c r="BQ570" s="31">
        <v>2075</v>
      </c>
      <c r="BR570" s="31">
        <v>2076</v>
      </c>
      <c r="BS570" s="31">
        <v>2077</v>
      </c>
      <c r="BT570" s="31">
        <v>2078</v>
      </c>
      <c r="BU570" s="31">
        <v>2079</v>
      </c>
      <c r="BV570" s="31">
        <v>2080</v>
      </c>
      <c r="BW570" s="31">
        <v>2081</v>
      </c>
      <c r="BX570" s="31">
        <v>2082</v>
      </c>
      <c r="BY570" s="31">
        <v>2083</v>
      </c>
      <c r="BZ570" s="31">
        <v>2084</v>
      </c>
      <c r="CA570" s="31">
        <v>2085</v>
      </c>
      <c r="CB570" s="31">
        <v>2086</v>
      </c>
      <c r="CC570" s="31">
        <v>2087</v>
      </c>
      <c r="CD570" s="31">
        <v>2088</v>
      </c>
      <c r="CE570" s="31">
        <v>2089</v>
      </c>
      <c r="CF570" s="31">
        <v>2090</v>
      </c>
      <c r="CG570" s="31">
        <v>2091</v>
      </c>
      <c r="CH570" s="31">
        <v>2092</v>
      </c>
      <c r="CI570" s="31">
        <v>2093</v>
      </c>
      <c r="CJ570" s="31">
        <v>2094</v>
      </c>
      <c r="CK570" s="31">
        <v>2095</v>
      </c>
      <c r="CL570" s="31">
        <v>2096</v>
      </c>
      <c r="CM570" s="31">
        <v>2097</v>
      </c>
      <c r="CN570" s="31">
        <v>2098</v>
      </c>
      <c r="CO570" s="31">
        <v>2099</v>
      </c>
      <c r="CP570" s="31">
        <v>2100</v>
      </c>
      <c r="CQ570" s="28" t="s">
        <v>405</v>
      </c>
    </row>
    <row r="571" spans="1:95" s="8" customFormat="1" ht="14.25" hidden="1" customHeight="1" outlineLevel="1" x14ac:dyDescent="0.2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c r="CF571" s="89"/>
      <c r="CG571" s="89"/>
      <c r="CH571" s="89"/>
      <c r="CI571" s="89"/>
      <c r="CJ571" s="89"/>
      <c r="CK571" s="89"/>
      <c r="CL571" s="89"/>
      <c r="CM571" s="89"/>
      <c r="CN571" s="89"/>
      <c r="CO571" s="89"/>
      <c r="CP571" s="89"/>
      <c r="CQ571" s="89"/>
    </row>
    <row r="572" spans="1:95" s="8" customFormat="1" ht="14.25" hidden="1" customHeight="1" outlineLevel="1" x14ac:dyDescent="0.25">
      <c r="A572" s="89"/>
      <c r="B572" s="89" t="s">
        <v>3</v>
      </c>
      <c r="C572" s="31">
        <f>Opening_year_in</f>
        <v>2026</v>
      </c>
      <c r="D572" s="28" t="s">
        <v>406</v>
      </c>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c r="BW572" s="89"/>
      <c r="BX572" s="89"/>
      <c r="BY572" s="89"/>
      <c r="BZ572" s="89"/>
      <c r="CA572" s="89"/>
      <c r="CB572" s="89"/>
      <c r="CC572" s="89"/>
      <c r="CD572" s="89"/>
      <c r="CE572" s="89"/>
      <c r="CF572" s="89"/>
      <c r="CG572" s="89"/>
      <c r="CH572" s="89"/>
      <c r="CI572" s="89"/>
      <c r="CJ572" s="89"/>
      <c r="CK572" s="89"/>
      <c r="CL572" s="89"/>
      <c r="CM572" s="89"/>
      <c r="CN572" s="89"/>
      <c r="CO572" s="89"/>
      <c r="CP572" s="89"/>
      <c r="CQ572" s="89"/>
    </row>
    <row r="573" spans="1:95" s="8" customFormat="1" ht="14.25" hidden="1" customHeight="1" outlineLevel="1" x14ac:dyDescent="0.25">
      <c r="A573" s="89"/>
      <c r="B573" s="89" t="s">
        <v>3</v>
      </c>
      <c r="C573" s="89"/>
      <c r="D573" s="89">
        <f>(Opening_year=year)*1</f>
        <v>0</v>
      </c>
      <c r="E573" s="89">
        <f t="shared" ref="E573:AI573" si="162">(Opening_year=year)*1</f>
        <v>0</v>
      </c>
      <c r="F573" s="89">
        <f>(Opening_year=year)*1</f>
        <v>0</v>
      </c>
      <c r="G573" s="89">
        <f t="shared" si="162"/>
        <v>0</v>
      </c>
      <c r="H573" s="89">
        <f t="shared" si="162"/>
        <v>0</v>
      </c>
      <c r="I573" s="89">
        <f t="shared" si="162"/>
        <v>0</v>
      </c>
      <c r="J573" s="89">
        <f t="shared" si="162"/>
        <v>0</v>
      </c>
      <c r="K573" s="89">
        <f t="shared" si="162"/>
        <v>0</v>
      </c>
      <c r="L573" s="89">
        <f t="shared" si="162"/>
        <v>0</v>
      </c>
      <c r="M573" s="89">
        <f t="shared" si="162"/>
        <v>0</v>
      </c>
      <c r="N573" s="89">
        <f t="shared" si="162"/>
        <v>0</v>
      </c>
      <c r="O573" s="89">
        <f t="shared" si="162"/>
        <v>0</v>
      </c>
      <c r="P573" s="89">
        <f t="shared" si="162"/>
        <v>0</v>
      </c>
      <c r="Q573" s="89">
        <f t="shared" si="162"/>
        <v>0</v>
      </c>
      <c r="R573" s="89">
        <f t="shared" si="162"/>
        <v>0</v>
      </c>
      <c r="S573" s="89">
        <f t="shared" si="162"/>
        <v>0</v>
      </c>
      <c r="T573" s="89">
        <f t="shared" si="162"/>
        <v>1</v>
      </c>
      <c r="U573" s="89">
        <f t="shared" si="162"/>
        <v>0</v>
      </c>
      <c r="V573" s="89">
        <f t="shared" si="162"/>
        <v>0</v>
      </c>
      <c r="W573" s="89">
        <f t="shared" si="162"/>
        <v>0</v>
      </c>
      <c r="X573" s="89">
        <f t="shared" si="162"/>
        <v>0</v>
      </c>
      <c r="Y573" s="89">
        <f t="shared" si="162"/>
        <v>0</v>
      </c>
      <c r="Z573" s="89">
        <f t="shared" si="162"/>
        <v>0</v>
      </c>
      <c r="AA573" s="89">
        <f t="shared" si="162"/>
        <v>0</v>
      </c>
      <c r="AB573" s="89">
        <f t="shared" si="162"/>
        <v>0</v>
      </c>
      <c r="AC573" s="89">
        <f t="shared" si="162"/>
        <v>0</v>
      </c>
      <c r="AD573" s="89">
        <f t="shared" si="162"/>
        <v>0</v>
      </c>
      <c r="AE573" s="89">
        <f t="shared" si="162"/>
        <v>0</v>
      </c>
      <c r="AF573" s="89">
        <f t="shared" si="162"/>
        <v>0</v>
      </c>
      <c r="AG573" s="89">
        <f t="shared" si="162"/>
        <v>0</v>
      </c>
      <c r="AH573" s="89">
        <f t="shared" si="162"/>
        <v>0</v>
      </c>
      <c r="AI573" s="89">
        <f t="shared" si="162"/>
        <v>0</v>
      </c>
      <c r="AJ573" s="89">
        <f t="shared" ref="AJ573:BO573" si="163">(Opening_year=year)*1</f>
        <v>0</v>
      </c>
      <c r="AK573" s="89">
        <f t="shared" si="163"/>
        <v>0</v>
      </c>
      <c r="AL573" s="89">
        <f t="shared" si="163"/>
        <v>0</v>
      </c>
      <c r="AM573" s="89">
        <f t="shared" si="163"/>
        <v>0</v>
      </c>
      <c r="AN573" s="89">
        <f t="shared" si="163"/>
        <v>0</v>
      </c>
      <c r="AO573" s="89">
        <f t="shared" si="163"/>
        <v>0</v>
      </c>
      <c r="AP573" s="89">
        <f t="shared" si="163"/>
        <v>0</v>
      </c>
      <c r="AQ573" s="89">
        <f t="shared" si="163"/>
        <v>0</v>
      </c>
      <c r="AR573" s="89">
        <f t="shared" si="163"/>
        <v>0</v>
      </c>
      <c r="AS573" s="89">
        <f t="shared" si="163"/>
        <v>0</v>
      </c>
      <c r="AT573" s="89">
        <f t="shared" si="163"/>
        <v>0</v>
      </c>
      <c r="AU573" s="89">
        <f t="shared" si="163"/>
        <v>0</v>
      </c>
      <c r="AV573" s="89">
        <f t="shared" si="163"/>
        <v>0</v>
      </c>
      <c r="AW573" s="89">
        <f t="shared" si="163"/>
        <v>0</v>
      </c>
      <c r="AX573" s="89">
        <f t="shared" si="163"/>
        <v>0</v>
      </c>
      <c r="AY573" s="89">
        <f t="shared" si="163"/>
        <v>0</v>
      </c>
      <c r="AZ573" s="89">
        <f t="shared" si="163"/>
        <v>0</v>
      </c>
      <c r="BA573" s="89">
        <f t="shared" si="163"/>
        <v>0</v>
      </c>
      <c r="BB573" s="89">
        <f t="shared" si="163"/>
        <v>0</v>
      </c>
      <c r="BC573" s="89">
        <f t="shared" si="163"/>
        <v>0</v>
      </c>
      <c r="BD573" s="89">
        <f t="shared" si="163"/>
        <v>0</v>
      </c>
      <c r="BE573" s="89">
        <f t="shared" si="163"/>
        <v>0</v>
      </c>
      <c r="BF573" s="89">
        <f t="shared" si="163"/>
        <v>0</v>
      </c>
      <c r="BG573" s="89">
        <f t="shared" si="163"/>
        <v>0</v>
      </c>
      <c r="BH573" s="89">
        <f t="shared" si="163"/>
        <v>0</v>
      </c>
      <c r="BI573" s="89">
        <f t="shared" si="163"/>
        <v>0</v>
      </c>
      <c r="BJ573" s="89">
        <f t="shared" si="163"/>
        <v>0</v>
      </c>
      <c r="BK573" s="89">
        <f t="shared" si="163"/>
        <v>0</v>
      </c>
      <c r="BL573" s="89">
        <f t="shared" si="163"/>
        <v>0</v>
      </c>
      <c r="BM573" s="89">
        <f t="shared" si="163"/>
        <v>0</v>
      </c>
      <c r="BN573" s="89">
        <f t="shared" si="163"/>
        <v>0</v>
      </c>
      <c r="BO573" s="89">
        <f t="shared" si="163"/>
        <v>0</v>
      </c>
      <c r="BP573" s="89">
        <f t="shared" ref="BP573:CP573" si="164">(Opening_year=year)*1</f>
        <v>0</v>
      </c>
      <c r="BQ573" s="89">
        <f t="shared" si="164"/>
        <v>0</v>
      </c>
      <c r="BR573" s="89">
        <f t="shared" si="164"/>
        <v>0</v>
      </c>
      <c r="BS573" s="89">
        <f t="shared" si="164"/>
        <v>0</v>
      </c>
      <c r="BT573" s="89">
        <f t="shared" si="164"/>
        <v>0</v>
      </c>
      <c r="BU573" s="89">
        <f t="shared" si="164"/>
        <v>0</v>
      </c>
      <c r="BV573" s="89">
        <f t="shared" si="164"/>
        <v>0</v>
      </c>
      <c r="BW573" s="89">
        <f t="shared" si="164"/>
        <v>0</v>
      </c>
      <c r="BX573" s="89">
        <f t="shared" si="164"/>
        <v>0</v>
      </c>
      <c r="BY573" s="89">
        <f t="shared" si="164"/>
        <v>0</v>
      </c>
      <c r="BZ573" s="89">
        <f t="shared" si="164"/>
        <v>0</v>
      </c>
      <c r="CA573" s="89">
        <f t="shared" si="164"/>
        <v>0</v>
      </c>
      <c r="CB573" s="89">
        <f t="shared" si="164"/>
        <v>0</v>
      </c>
      <c r="CC573" s="89">
        <f t="shared" si="164"/>
        <v>0</v>
      </c>
      <c r="CD573" s="89">
        <f t="shared" si="164"/>
        <v>0</v>
      </c>
      <c r="CE573" s="89">
        <f t="shared" si="164"/>
        <v>0</v>
      </c>
      <c r="CF573" s="89">
        <f t="shared" si="164"/>
        <v>0</v>
      </c>
      <c r="CG573" s="89">
        <f t="shared" si="164"/>
        <v>0</v>
      </c>
      <c r="CH573" s="89">
        <f t="shared" si="164"/>
        <v>0</v>
      </c>
      <c r="CI573" s="89">
        <f t="shared" si="164"/>
        <v>0</v>
      </c>
      <c r="CJ573" s="89">
        <f t="shared" si="164"/>
        <v>0</v>
      </c>
      <c r="CK573" s="89">
        <f t="shared" si="164"/>
        <v>0</v>
      </c>
      <c r="CL573" s="89">
        <f t="shared" si="164"/>
        <v>0</v>
      </c>
      <c r="CM573" s="89">
        <f t="shared" si="164"/>
        <v>0</v>
      </c>
      <c r="CN573" s="89">
        <f t="shared" si="164"/>
        <v>0</v>
      </c>
      <c r="CO573" s="89">
        <f t="shared" si="164"/>
        <v>0</v>
      </c>
      <c r="CP573" s="89">
        <f t="shared" si="164"/>
        <v>0</v>
      </c>
      <c r="CQ573" s="28" t="s">
        <v>407</v>
      </c>
    </row>
    <row r="574" spans="1:95" s="8" customFormat="1" ht="14.25" hidden="1" customHeight="1" outlineLevel="1" x14ac:dyDescent="0.2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28"/>
    </row>
    <row r="575" spans="1:95" s="8" customFormat="1" ht="14.25" hidden="1" customHeight="1" outlineLevel="1" x14ac:dyDescent="0.25">
      <c r="A575" s="89"/>
      <c r="B575" s="89" t="s">
        <v>5</v>
      </c>
      <c r="C575" s="31">
        <f>Forecast_year_in</f>
        <v>2036</v>
      </c>
      <c r="D575" s="28" t="s">
        <v>408</v>
      </c>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c r="BW575" s="89"/>
      <c r="BX575" s="89"/>
      <c r="BY575" s="89"/>
      <c r="BZ575" s="89"/>
      <c r="CA575" s="89"/>
      <c r="CB575" s="89"/>
      <c r="CC575" s="89"/>
      <c r="CD575" s="89"/>
      <c r="CE575" s="89"/>
      <c r="CF575" s="89"/>
      <c r="CG575" s="89"/>
      <c r="CH575" s="89"/>
      <c r="CI575" s="89"/>
      <c r="CJ575" s="89"/>
      <c r="CK575" s="89"/>
      <c r="CL575" s="89"/>
      <c r="CM575" s="89"/>
      <c r="CN575" s="89"/>
      <c r="CO575" s="89"/>
      <c r="CP575" s="89"/>
      <c r="CQ575" s="28"/>
    </row>
    <row r="576" spans="1:95" s="8" customFormat="1" ht="14.25" hidden="1" customHeight="1" outlineLevel="1" x14ac:dyDescent="0.25">
      <c r="A576" s="89"/>
      <c r="B576" s="89" t="s">
        <v>5</v>
      </c>
      <c r="C576" s="89"/>
      <c r="D576" s="89">
        <f t="shared" ref="D576:AI576" si="165">(Forecast_year=year)*1</f>
        <v>0</v>
      </c>
      <c r="E576" s="89">
        <f t="shared" si="165"/>
        <v>0</v>
      </c>
      <c r="F576" s="89">
        <f t="shared" si="165"/>
        <v>0</v>
      </c>
      <c r="G576" s="89">
        <f t="shared" si="165"/>
        <v>0</v>
      </c>
      <c r="H576" s="89">
        <f t="shared" si="165"/>
        <v>0</v>
      </c>
      <c r="I576" s="89">
        <f t="shared" si="165"/>
        <v>0</v>
      </c>
      <c r="J576" s="89">
        <f t="shared" si="165"/>
        <v>0</v>
      </c>
      <c r="K576" s="89">
        <f t="shared" si="165"/>
        <v>0</v>
      </c>
      <c r="L576" s="89">
        <f t="shared" si="165"/>
        <v>0</v>
      </c>
      <c r="M576" s="89">
        <f t="shared" si="165"/>
        <v>0</v>
      </c>
      <c r="N576" s="89">
        <f t="shared" si="165"/>
        <v>0</v>
      </c>
      <c r="O576" s="89">
        <f t="shared" si="165"/>
        <v>0</v>
      </c>
      <c r="P576" s="89">
        <f t="shared" si="165"/>
        <v>0</v>
      </c>
      <c r="Q576" s="89">
        <f t="shared" si="165"/>
        <v>0</v>
      </c>
      <c r="R576" s="89">
        <f t="shared" si="165"/>
        <v>0</v>
      </c>
      <c r="S576" s="89">
        <f t="shared" si="165"/>
        <v>0</v>
      </c>
      <c r="T576" s="89">
        <f t="shared" si="165"/>
        <v>0</v>
      </c>
      <c r="U576" s="89">
        <f t="shared" si="165"/>
        <v>0</v>
      </c>
      <c r="V576" s="89">
        <f t="shared" si="165"/>
        <v>0</v>
      </c>
      <c r="W576" s="89">
        <f t="shared" si="165"/>
        <v>0</v>
      </c>
      <c r="X576" s="89">
        <f t="shared" si="165"/>
        <v>0</v>
      </c>
      <c r="Y576" s="89">
        <f t="shared" si="165"/>
        <v>0</v>
      </c>
      <c r="Z576" s="89">
        <f t="shared" si="165"/>
        <v>0</v>
      </c>
      <c r="AA576" s="89">
        <f t="shared" si="165"/>
        <v>0</v>
      </c>
      <c r="AB576" s="89">
        <f t="shared" si="165"/>
        <v>0</v>
      </c>
      <c r="AC576" s="89">
        <f t="shared" si="165"/>
        <v>0</v>
      </c>
      <c r="AD576" s="89">
        <f t="shared" si="165"/>
        <v>1</v>
      </c>
      <c r="AE576" s="89">
        <f t="shared" si="165"/>
        <v>0</v>
      </c>
      <c r="AF576" s="89">
        <f t="shared" si="165"/>
        <v>0</v>
      </c>
      <c r="AG576" s="89">
        <f t="shared" si="165"/>
        <v>0</v>
      </c>
      <c r="AH576" s="89">
        <f t="shared" si="165"/>
        <v>0</v>
      </c>
      <c r="AI576" s="89">
        <f t="shared" si="165"/>
        <v>0</v>
      </c>
      <c r="AJ576" s="89">
        <f t="shared" ref="AJ576:BO576" si="166">(Forecast_year=year)*1</f>
        <v>0</v>
      </c>
      <c r="AK576" s="89">
        <f t="shared" si="166"/>
        <v>0</v>
      </c>
      <c r="AL576" s="89">
        <f t="shared" si="166"/>
        <v>0</v>
      </c>
      <c r="AM576" s="89">
        <f t="shared" si="166"/>
        <v>0</v>
      </c>
      <c r="AN576" s="89">
        <f t="shared" si="166"/>
        <v>0</v>
      </c>
      <c r="AO576" s="89">
        <f t="shared" si="166"/>
        <v>0</v>
      </c>
      <c r="AP576" s="89">
        <f t="shared" si="166"/>
        <v>0</v>
      </c>
      <c r="AQ576" s="89">
        <f t="shared" si="166"/>
        <v>0</v>
      </c>
      <c r="AR576" s="89">
        <f t="shared" si="166"/>
        <v>0</v>
      </c>
      <c r="AS576" s="89">
        <f t="shared" si="166"/>
        <v>0</v>
      </c>
      <c r="AT576" s="89">
        <f t="shared" si="166"/>
        <v>0</v>
      </c>
      <c r="AU576" s="89">
        <f t="shared" si="166"/>
        <v>0</v>
      </c>
      <c r="AV576" s="89">
        <f t="shared" si="166"/>
        <v>0</v>
      </c>
      <c r="AW576" s="89">
        <f t="shared" si="166"/>
        <v>0</v>
      </c>
      <c r="AX576" s="89">
        <f t="shared" si="166"/>
        <v>0</v>
      </c>
      <c r="AY576" s="89">
        <f t="shared" si="166"/>
        <v>0</v>
      </c>
      <c r="AZ576" s="89">
        <f t="shared" si="166"/>
        <v>0</v>
      </c>
      <c r="BA576" s="89">
        <f t="shared" si="166"/>
        <v>0</v>
      </c>
      <c r="BB576" s="89">
        <f t="shared" si="166"/>
        <v>0</v>
      </c>
      <c r="BC576" s="89">
        <f t="shared" si="166"/>
        <v>0</v>
      </c>
      <c r="BD576" s="89">
        <f t="shared" si="166"/>
        <v>0</v>
      </c>
      <c r="BE576" s="89">
        <f t="shared" si="166"/>
        <v>0</v>
      </c>
      <c r="BF576" s="89">
        <f t="shared" si="166"/>
        <v>0</v>
      </c>
      <c r="BG576" s="89">
        <f t="shared" si="166"/>
        <v>0</v>
      </c>
      <c r="BH576" s="89">
        <f t="shared" si="166"/>
        <v>0</v>
      </c>
      <c r="BI576" s="89">
        <f t="shared" si="166"/>
        <v>0</v>
      </c>
      <c r="BJ576" s="89">
        <f t="shared" si="166"/>
        <v>0</v>
      </c>
      <c r="BK576" s="89">
        <f t="shared" si="166"/>
        <v>0</v>
      </c>
      <c r="BL576" s="89">
        <f t="shared" si="166"/>
        <v>0</v>
      </c>
      <c r="BM576" s="89">
        <f t="shared" si="166"/>
        <v>0</v>
      </c>
      <c r="BN576" s="89">
        <f t="shared" si="166"/>
        <v>0</v>
      </c>
      <c r="BO576" s="89">
        <f t="shared" si="166"/>
        <v>0</v>
      </c>
      <c r="BP576" s="89">
        <f t="shared" ref="BP576:CP576" si="167">(Forecast_year=year)*1</f>
        <v>0</v>
      </c>
      <c r="BQ576" s="89">
        <f t="shared" si="167"/>
        <v>0</v>
      </c>
      <c r="BR576" s="89">
        <f t="shared" si="167"/>
        <v>0</v>
      </c>
      <c r="BS576" s="89">
        <f t="shared" si="167"/>
        <v>0</v>
      </c>
      <c r="BT576" s="89">
        <f t="shared" si="167"/>
        <v>0</v>
      </c>
      <c r="BU576" s="89">
        <f t="shared" si="167"/>
        <v>0</v>
      </c>
      <c r="BV576" s="89">
        <f t="shared" si="167"/>
        <v>0</v>
      </c>
      <c r="BW576" s="89">
        <f t="shared" si="167"/>
        <v>0</v>
      </c>
      <c r="BX576" s="89">
        <f t="shared" si="167"/>
        <v>0</v>
      </c>
      <c r="BY576" s="89">
        <f t="shared" si="167"/>
        <v>0</v>
      </c>
      <c r="BZ576" s="89">
        <f t="shared" si="167"/>
        <v>0</v>
      </c>
      <c r="CA576" s="89">
        <f t="shared" si="167"/>
        <v>0</v>
      </c>
      <c r="CB576" s="89">
        <f t="shared" si="167"/>
        <v>0</v>
      </c>
      <c r="CC576" s="89">
        <f t="shared" si="167"/>
        <v>0</v>
      </c>
      <c r="CD576" s="89">
        <f t="shared" si="167"/>
        <v>0</v>
      </c>
      <c r="CE576" s="89">
        <f t="shared" si="167"/>
        <v>0</v>
      </c>
      <c r="CF576" s="89">
        <f t="shared" si="167"/>
        <v>0</v>
      </c>
      <c r="CG576" s="89">
        <f t="shared" si="167"/>
        <v>0</v>
      </c>
      <c r="CH576" s="89">
        <f t="shared" si="167"/>
        <v>0</v>
      </c>
      <c r="CI576" s="89">
        <f t="shared" si="167"/>
        <v>0</v>
      </c>
      <c r="CJ576" s="89">
        <f t="shared" si="167"/>
        <v>0</v>
      </c>
      <c r="CK576" s="89">
        <f t="shared" si="167"/>
        <v>0</v>
      </c>
      <c r="CL576" s="89">
        <f t="shared" si="167"/>
        <v>0</v>
      </c>
      <c r="CM576" s="89">
        <f t="shared" si="167"/>
        <v>0</v>
      </c>
      <c r="CN576" s="89">
        <f t="shared" si="167"/>
        <v>0</v>
      </c>
      <c r="CO576" s="89">
        <f t="shared" si="167"/>
        <v>0</v>
      </c>
      <c r="CP576" s="89">
        <f t="shared" si="167"/>
        <v>0</v>
      </c>
      <c r="CQ576" s="28" t="s">
        <v>409</v>
      </c>
    </row>
    <row r="577" spans="1:95" s="8" customFormat="1" ht="14.25" hidden="1" customHeight="1" outlineLevel="1" x14ac:dyDescent="0.2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c r="CF577" s="89"/>
      <c r="CG577" s="89"/>
      <c r="CH577" s="89"/>
      <c r="CI577" s="89"/>
      <c r="CJ577" s="89"/>
      <c r="CK577" s="89"/>
      <c r="CL577" s="89"/>
      <c r="CM577" s="89"/>
      <c r="CN577" s="89"/>
      <c r="CO577" s="89"/>
      <c r="CP577" s="89"/>
      <c r="CQ577" s="28"/>
    </row>
    <row r="578" spans="1:95" s="8" customFormat="1" ht="14.25" hidden="1" customHeight="1" outlineLevel="1" x14ac:dyDescent="0.25">
      <c r="A578" s="89"/>
      <c r="B578" s="89" t="s">
        <v>410</v>
      </c>
      <c r="C578" s="89">
        <f>Forecast_year-Opening_year</f>
        <v>10</v>
      </c>
      <c r="D578" s="28" t="s">
        <v>411</v>
      </c>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c r="BW578" s="89"/>
      <c r="BX578" s="89"/>
      <c r="BY578" s="89"/>
      <c r="BZ578" s="89"/>
      <c r="CA578" s="89"/>
      <c r="CB578" s="89"/>
      <c r="CC578" s="89"/>
      <c r="CD578" s="89"/>
      <c r="CE578" s="89"/>
      <c r="CF578" s="89"/>
      <c r="CG578" s="89"/>
      <c r="CH578" s="89"/>
      <c r="CI578" s="89"/>
      <c r="CJ578" s="89"/>
      <c r="CK578" s="89"/>
      <c r="CL578" s="89"/>
      <c r="CM578" s="89"/>
      <c r="CN578" s="89"/>
      <c r="CO578" s="89"/>
      <c r="CP578" s="89"/>
      <c r="CQ578" s="28"/>
    </row>
    <row r="579" spans="1:95" s="8" customFormat="1" ht="14.25" hidden="1" customHeight="1" outlineLevel="1" x14ac:dyDescent="0.25">
      <c r="A579" s="89"/>
      <c r="B579" s="170" t="s">
        <v>412</v>
      </c>
      <c r="C579" s="89">
        <f>Appraisal_period_length_in</f>
        <v>60</v>
      </c>
      <c r="D579" s="28" t="s">
        <v>413</v>
      </c>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89"/>
      <c r="BX579" s="89"/>
      <c r="BY579" s="89"/>
      <c r="BZ579" s="89"/>
      <c r="CA579" s="89"/>
      <c r="CB579" s="89"/>
      <c r="CC579" s="89"/>
      <c r="CD579" s="89"/>
      <c r="CE579" s="89"/>
      <c r="CF579" s="89"/>
      <c r="CG579" s="89"/>
      <c r="CH579" s="89"/>
      <c r="CI579" s="89"/>
      <c r="CJ579" s="89"/>
      <c r="CK579" s="89"/>
      <c r="CL579" s="89"/>
      <c r="CM579" s="89"/>
      <c r="CN579" s="89"/>
      <c r="CO579" s="89"/>
      <c r="CP579" s="89"/>
      <c r="CQ579" s="89"/>
    </row>
    <row r="580" spans="1:95" s="8" customFormat="1" ht="14.25" hidden="1" customHeight="1" outlineLevel="1" x14ac:dyDescent="0.2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c r="BW580" s="89"/>
      <c r="BX580" s="89"/>
      <c r="BY580" s="89"/>
      <c r="BZ580" s="89"/>
      <c r="CA580" s="89"/>
      <c r="CB580" s="89"/>
      <c r="CC580" s="89"/>
      <c r="CD580" s="89"/>
      <c r="CE580" s="89"/>
      <c r="CF580" s="89"/>
      <c r="CG580" s="89"/>
      <c r="CH580" s="89"/>
      <c r="CI580" s="89"/>
      <c r="CJ580" s="89"/>
      <c r="CK580" s="89"/>
      <c r="CL580" s="89"/>
      <c r="CM580" s="89"/>
      <c r="CN580" s="89"/>
      <c r="CO580" s="89"/>
      <c r="CP580" s="89"/>
      <c r="CQ580" s="89"/>
    </row>
    <row r="581" spans="1:95" s="8" customFormat="1" ht="14.25" hidden="1" customHeight="1" outlineLevel="1" x14ac:dyDescent="0.25">
      <c r="A581" s="89"/>
      <c r="B581" s="89" t="s">
        <v>414</v>
      </c>
      <c r="C581" s="89"/>
      <c r="D581" s="89">
        <f>AND(Opening_year&lt;year,Forecast_year&gt;year)*1</f>
        <v>0</v>
      </c>
      <c r="E581" s="89">
        <f t="shared" ref="E581:AI581" si="168">AND(Opening_year&lt;year,Forecast_year&gt;year)*1</f>
        <v>0</v>
      </c>
      <c r="F581" s="89">
        <f t="shared" si="168"/>
        <v>0</v>
      </c>
      <c r="G581" s="89">
        <f t="shared" si="168"/>
        <v>0</v>
      </c>
      <c r="H581" s="89">
        <f t="shared" si="168"/>
        <v>0</v>
      </c>
      <c r="I581" s="89">
        <f t="shared" si="168"/>
        <v>0</v>
      </c>
      <c r="J581" s="89">
        <f t="shared" si="168"/>
        <v>0</v>
      </c>
      <c r="K581" s="89">
        <f t="shared" si="168"/>
        <v>0</v>
      </c>
      <c r="L581" s="89">
        <f t="shared" si="168"/>
        <v>0</v>
      </c>
      <c r="M581" s="89">
        <f t="shared" si="168"/>
        <v>0</v>
      </c>
      <c r="N581" s="89">
        <f t="shared" si="168"/>
        <v>0</v>
      </c>
      <c r="O581" s="89">
        <f t="shared" si="168"/>
        <v>0</v>
      </c>
      <c r="P581" s="89">
        <f t="shared" si="168"/>
        <v>0</v>
      </c>
      <c r="Q581" s="89">
        <f t="shared" si="168"/>
        <v>0</v>
      </c>
      <c r="R581" s="89">
        <f t="shared" si="168"/>
        <v>0</v>
      </c>
      <c r="S581" s="89">
        <f t="shared" si="168"/>
        <v>0</v>
      </c>
      <c r="T581" s="89">
        <f t="shared" si="168"/>
        <v>0</v>
      </c>
      <c r="U581" s="89">
        <f t="shared" si="168"/>
        <v>1</v>
      </c>
      <c r="V581" s="89">
        <f t="shared" si="168"/>
        <v>1</v>
      </c>
      <c r="W581" s="89">
        <f t="shared" si="168"/>
        <v>1</v>
      </c>
      <c r="X581" s="89">
        <f t="shared" si="168"/>
        <v>1</v>
      </c>
      <c r="Y581" s="89">
        <f t="shared" si="168"/>
        <v>1</v>
      </c>
      <c r="Z581" s="89">
        <f t="shared" si="168"/>
        <v>1</v>
      </c>
      <c r="AA581" s="89">
        <f t="shared" si="168"/>
        <v>1</v>
      </c>
      <c r="AB581" s="89">
        <f t="shared" si="168"/>
        <v>1</v>
      </c>
      <c r="AC581" s="89">
        <f t="shared" si="168"/>
        <v>1</v>
      </c>
      <c r="AD581" s="89">
        <f t="shared" si="168"/>
        <v>0</v>
      </c>
      <c r="AE581" s="89">
        <f t="shared" si="168"/>
        <v>0</v>
      </c>
      <c r="AF581" s="89">
        <f t="shared" si="168"/>
        <v>0</v>
      </c>
      <c r="AG581" s="89">
        <f t="shared" si="168"/>
        <v>0</v>
      </c>
      <c r="AH581" s="89">
        <f t="shared" si="168"/>
        <v>0</v>
      </c>
      <c r="AI581" s="89">
        <f t="shared" si="168"/>
        <v>0</v>
      </c>
      <c r="AJ581" s="89">
        <f t="shared" ref="AJ581:BO581" si="169">AND(Opening_year&lt;year,Forecast_year&gt;year)*1</f>
        <v>0</v>
      </c>
      <c r="AK581" s="89">
        <f t="shared" si="169"/>
        <v>0</v>
      </c>
      <c r="AL581" s="89">
        <f t="shared" si="169"/>
        <v>0</v>
      </c>
      <c r="AM581" s="89">
        <f t="shared" si="169"/>
        <v>0</v>
      </c>
      <c r="AN581" s="89">
        <f t="shared" si="169"/>
        <v>0</v>
      </c>
      <c r="AO581" s="89">
        <f t="shared" si="169"/>
        <v>0</v>
      </c>
      <c r="AP581" s="89">
        <f t="shared" si="169"/>
        <v>0</v>
      </c>
      <c r="AQ581" s="89">
        <f t="shared" si="169"/>
        <v>0</v>
      </c>
      <c r="AR581" s="89">
        <f t="shared" si="169"/>
        <v>0</v>
      </c>
      <c r="AS581" s="89">
        <f t="shared" si="169"/>
        <v>0</v>
      </c>
      <c r="AT581" s="89">
        <f t="shared" si="169"/>
        <v>0</v>
      </c>
      <c r="AU581" s="89">
        <f t="shared" si="169"/>
        <v>0</v>
      </c>
      <c r="AV581" s="89">
        <f t="shared" si="169"/>
        <v>0</v>
      </c>
      <c r="AW581" s="89">
        <f t="shared" si="169"/>
        <v>0</v>
      </c>
      <c r="AX581" s="89">
        <f t="shared" si="169"/>
        <v>0</v>
      </c>
      <c r="AY581" s="89">
        <f t="shared" si="169"/>
        <v>0</v>
      </c>
      <c r="AZ581" s="89">
        <f t="shared" si="169"/>
        <v>0</v>
      </c>
      <c r="BA581" s="89">
        <f t="shared" si="169"/>
        <v>0</v>
      </c>
      <c r="BB581" s="89">
        <f t="shared" si="169"/>
        <v>0</v>
      </c>
      <c r="BC581" s="89">
        <f t="shared" si="169"/>
        <v>0</v>
      </c>
      <c r="BD581" s="89">
        <f t="shared" si="169"/>
        <v>0</v>
      </c>
      <c r="BE581" s="89">
        <f t="shared" si="169"/>
        <v>0</v>
      </c>
      <c r="BF581" s="89">
        <f t="shared" si="169"/>
        <v>0</v>
      </c>
      <c r="BG581" s="89">
        <f t="shared" si="169"/>
        <v>0</v>
      </c>
      <c r="BH581" s="89">
        <f t="shared" si="169"/>
        <v>0</v>
      </c>
      <c r="BI581" s="89">
        <f t="shared" si="169"/>
        <v>0</v>
      </c>
      <c r="BJ581" s="89">
        <f t="shared" si="169"/>
        <v>0</v>
      </c>
      <c r="BK581" s="89">
        <f t="shared" si="169"/>
        <v>0</v>
      </c>
      <c r="BL581" s="89">
        <f t="shared" si="169"/>
        <v>0</v>
      </c>
      <c r="BM581" s="89">
        <f t="shared" si="169"/>
        <v>0</v>
      </c>
      <c r="BN581" s="89">
        <f t="shared" si="169"/>
        <v>0</v>
      </c>
      <c r="BO581" s="89">
        <f t="shared" si="169"/>
        <v>0</v>
      </c>
      <c r="BP581" s="89">
        <f t="shared" ref="BP581:CP581" si="170">AND(Opening_year&lt;year,Forecast_year&gt;year)*1</f>
        <v>0</v>
      </c>
      <c r="BQ581" s="89">
        <f t="shared" si="170"/>
        <v>0</v>
      </c>
      <c r="BR581" s="89">
        <f t="shared" si="170"/>
        <v>0</v>
      </c>
      <c r="BS581" s="89">
        <f t="shared" si="170"/>
        <v>0</v>
      </c>
      <c r="BT581" s="89">
        <f t="shared" si="170"/>
        <v>0</v>
      </c>
      <c r="BU581" s="89">
        <f t="shared" si="170"/>
        <v>0</v>
      </c>
      <c r="BV581" s="89">
        <f t="shared" si="170"/>
        <v>0</v>
      </c>
      <c r="BW581" s="89">
        <f t="shared" si="170"/>
        <v>0</v>
      </c>
      <c r="BX581" s="89">
        <f t="shared" si="170"/>
        <v>0</v>
      </c>
      <c r="BY581" s="89">
        <f t="shared" si="170"/>
        <v>0</v>
      </c>
      <c r="BZ581" s="89">
        <f t="shared" si="170"/>
        <v>0</v>
      </c>
      <c r="CA581" s="89">
        <f t="shared" si="170"/>
        <v>0</v>
      </c>
      <c r="CB581" s="89">
        <f t="shared" si="170"/>
        <v>0</v>
      </c>
      <c r="CC581" s="89">
        <f t="shared" si="170"/>
        <v>0</v>
      </c>
      <c r="CD581" s="89">
        <f t="shared" si="170"/>
        <v>0</v>
      </c>
      <c r="CE581" s="89">
        <f t="shared" si="170"/>
        <v>0</v>
      </c>
      <c r="CF581" s="89">
        <f t="shared" si="170"/>
        <v>0</v>
      </c>
      <c r="CG581" s="89">
        <f t="shared" si="170"/>
        <v>0</v>
      </c>
      <c r="CH581" s="89">
        <f t="shared" si="170"/>
        <v>0</v>
      </c>
      <c r="CI581" s="89">
        <f t="shared" si="170"/>
        <v>0</v>
      </c>
      <c r="CJ581" s="89">
        <f t="shared" si="170"/>
        <v>0</v>
      </c>
      <c r="CK581" s="89">
        <f t="shared" si="170"/>
        <v>0</v>
      </c>
      <c r="CL581" s="89">
        <f t="shared" si="170"/>
        <v>0</v>
      </c>
      <c r="CM581" s="89">
        <f t="shared" si="170"/>
        <v>0</v>
      </c>
      <c r="CN581" s="89">
        <f t="shared" si="170"/>
        <v>0</v>
      </c>
      <c r="CO581" s="89">
        <f t="shared" si="170"/>
        <v>0</v>
      </c>
      <c r="CP581" s="89">
        <f t="shared" si="170"/>
        <v>0</v>
      </c>
      <c r="CQ581" s="28" t="s">
        <v>415</v>
      </c>
    </row>
    <row r="582" spans="1:95" s="8" customFormat="1" ht="14.25" hidden="1" customHeight="1" outlineLevel="1" x14ac:dyDescent="0.2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c r="BW582" s="89"/>
      <c r="BX582" s="89"/>
      <c r="BY582" s="89"/>
      <c r="BZ582" s="89"/>
      <c r="CA582" s="89"/>
      <c r="CB582" s="89"/>
      <c r="CC582" s="89"/>
      <c r="CD582" s="89"/>
      <c r="CE582" s="89"/>
      <c r="CF582" s="89"/>
      <c r="CG582" s="89"/>
      <c r="CH582" s="89"/>
      <c r="CI582" s="89"/>
      <c r="CJ582" s="89"/>
      <c r="CK582" s="89"/>
      <c r="CL582" s="89"/>
      <c r="CM582" s="89"/>
      <c r="CN582" s="89"/>
      <c r="CO582" s="89"/>
      <c r="CP582" s="89"/>
      <c r="CQ582" s="28"/>
    </row>
    <row r="583" spans="1:95" s="8" customFormat="1" ht="14.25" hidden="1" customHeight="1" outlineLevel="1" x14ac:dyDescent="0.25">
      <c r="A583" s="89"/>
      <c r="B583" s="89" t="s">
        <v>416</v>
      </c>
      <c r="C583" s="89"/>
      <c r="D583" s="89">
        <f>AND(year&gt;Forecast_year,year&lt;(Opening_year + Appraisal_period_length))*1</f>
        <v>0</v>
      </c>
      <c r="E583" s="89">
        <f t="shared" ref="E583:AI583" si="171">AND(year&gt;Forecast_year,year&lt;(Opening_year + Appraisal_period_length))*1</f>
        <v>0</v>
      </c>
      <c r="F583" s="89">
        <f t="shared" si="171"/>
        <v>0</v>
      </c>
      <c r="G583" s="89">
        <f t="shared" si="171"/>
        <v>0</v>
      </c>
      <c r="H583" s="89">
        <f t="shared" si="171"/>
        <v>0</v>
      </c>
      <c r="I583" s="89">
        <f t="shared" si="171"/>
        <v>0</v>
      </c>
      <c r="J583" s="89">
        <f t="shared" si="171"/>
        <v>0</v>
      </c>
      <c r="K583" s="89">
        <f t="shared" si="171"/>
        <v>0</v>
      </c>
      <c r="L583" s="89">
        <f t="shared" si="171"/>
        <v>0</v>
      </c>
      <c r="M583" s="89">
        <f t="shared" si="171"/>
        <v>0</v>
      </c>
      <c r="N583" s="89">
        <f t="shared" si="171"/>
        <v>0</v>
      </c>
      <c r="O583" s="89">
        <f t="shared" si="171"/>
        <v>0</v>
      </c>
      <c r="P583" s="89">
        <f t="shared" si="171"/>
        <v>0</v>
      </c>
      <c r="Q583" s="89">
        <f t="shared" si="171"/>
        <v>0</v>
      </c>
      <c r="R583" s="89">
        <f t="shared" si="171"/>
        <v>0</v>
      </c>
      <c r="S583" s="89">
        <f t="shared" si="171"/>
        <v>0</v>
      </c>
      <c r="T583" s="89">
        <f t="shared" si="171"/>
        <v>0</v>
      </c>
      <c r="U583" s="89">
        <f t="shared" si="171"/>
        <v>0</v>
      </c>
      <c r="V583" s="89">
        <f t="shared" si="171"/>
        <v>0</v>
      </c>
      <c r="W583" s="89">
        <f t="shared" si="171"/>
        <v>0</v>
      </c>
      <c r="X583" s="89">
        <f t="shared" si="171"/>
        <v>0</v>
      </c>
      <c r="Y583" s="89">
        <f t="shared" si="171"/>
        <v>0</v>
      </c>
      <c r="Z583" s="89">
        <f t="shared" si="171"/>
        <v>0</v>
      </c>
      <c r="AA583" s="89">
        <f t="shared" si="171"/>
        <v>0</v>
      </c>
      <c r="AB583" s="89">
        <f t="shared" si="171"/>
        <v>0</v>
      </c>
      <c r="AC583" s="89">
        <f t="shared" si="171"/>
        <v>0</v>
      </c>
      <c r="AD583" s="89">
        <f t="shared" si="171"/>
        <v>0</v>
      </c>
      <c r="AE583" s="89">
        <f t="shared" si="171"/>
        <v>1</v>
      </c>
      <c r="AF583" s="89">
        <f t="shared" si="171"/>
        <v>1</v>
      </c>
      <c r="AG583" s="89">
        <f t="shared" si="171"/>
        <v>1</v>
      </c>
      <c r="AH583" s="89">
        <f t="shared" si="171"/>
        <v>1</v>
      </c>
      <c r="AI583" s="89">
        <f t="shared" si="171"/>
        <v>1</v>
      </c>
      <c r="AJ583" s="89">
        <f t="shared" ref="AJ583:BO583" si="172">AND(year&gt;Forecast_year,year&lt;(Opening_year + Appraisal_period_length))*1</f>
        <v>1</v>
      </c>
      <c r="AK583" s="89">
        <f t="shared" si="172"/>
        <v>1</v>
      </c>
      <c r="AL583" s="89">
        <f t="shared" si="172"/>
        <v>1</v>
      </c>
      <c r="AM583" s="89">
        <f t="shared" si="172"/>
        <v>1</v>
      </c>
      <c r="AN583" s="89">
        <f t="shared" si="172"/>
        <v>1</v>
      </c>
      <c r="AO583" s="89">
        <f t="shared" si="172"/>
        <v>1</v>
      </c>
      <c r="AP583" s="89">
        <f t="shared" si="172"/>
        <v>1</v>
      </c>
      <c r="AQ583" s="89">
        <f t="shared" si="172"/>
        <v>1</v>
      </c>
      <c r="AR583" s="89">
        <f t="shared" si="172"/>
        <v>1</v>
      </c>
      <c r="AS583" s="89">
        <f t="shared" si="172"/>
        <v>1</v>
      </c>
      <c r="AT583" s="89">
        <f t="shared" si="172"/>
        <v>1</v>
      </c>
      <c r="AU583" s="89">
        <f t="shared" si="172"/>
        <v>1</v>
      </c>
      <c r="AV583" s="89">
        <f t="shared" si="172"/>
        <v>1</v>
      </c>
      <c r="AW583" s="89">
        <f t="shared" si="172"/>
        <v>1</v>
      </c>
      <c r="AX583" s="89">
        <f t="shared" si="172"/>
        <v>1</v>
      </c>
      <c r="AY583" s="89">
        <f t="shared" si="172"/>
        <v>1</v>
      </c>
      <c r="AZ583" s="89">
        <f t="shared" si="172"/>
        <v>1</v>
      </c>
      <c r="BA583" s="89">
        <f t="shared" si="172"/>
        <v>1</v>
      </c>
      <c r="BB583" s="89">
        <f t="shared" si="172"/>
        <v>1</v>
      </c>
      <c r="BC583" s="89">
        <f t="shared" si="172"/>
        <v>1</v>
      </c>
      <c r="BD583" s="89">
        <f t="shared" si="172"/>
        <v>1</v>
      </c>
      <c r="BE583" s="89">
        <f t="shared" si="172"/>
        <v>1</v>
      </c>
      <c r="BF583" s="89">
        <f t="shared" si="172"/>
        <v>1</v>
      </c>
      <c r="BG583" s="89">
        <f t="shared" si="172"/>
        <v>1</v>
      </c>
      <c r="BH583" s="89">
        <f t="shared" si="172"/>
        <v>1</v>
      </c>
      <c r="BI583" s="89">
        <f t="shared" si="172"/>
        <v>1</v>
      </c>
      <c r="BJ583" s="89">
        <f t="shared" si="172"/>
        <v>1</v>
      </c>
      <c r="BK583" s="89">
        <f t="shared" si="172"/>
        <v>1</v>
      </c>
      <c r="BL583" s="89">
        <f t="shared" si="172"/>
        <v>1</v>
      </c>
      <c r="BM583" s="89">
        <f t="shared" si="172"/>
        <v>1</v>
      </c>
      <c r="BN583" s="89">
        <f t="shared" si="172"/>
        <v>1</v>
      </c>
      <c r="BO583" s="89">
        <f t="shared" si="172"/>
        <v>1</v>
      </c>
      <c r="BP583" s="89">
        <f t="shared" ref="BP583:CP583" si="173">AND(year&gt;Forecast_year,year&lt;(Opening_year + Appraisal_period_length))*1</f>
        <v>1</v>
      </c>
      <c r="BQ583" s="89">
        <f t="shared" si="173"/>
        <v>1</v>
      </c>
      <c r="BR583" s="89">
        <f t="shared" si="173"/>
        <v>1</v>
      </c>
      <c r="BS583" s="89">
        <f t="shared" si="173"/>
        <v>1</v>
      </c>
      <c r="BT583" s="89">
        <f t="shared" si="173"/>
        <v>1</v>
      </c>
      <c r="BU583" s="89">
        <f t="shared" si="173"/>
        <v>1</v>
      </c>
      <c r="BV583" s="89">
        <f t="shared" si="173"/>
        <v>1</v>
      </c>
      <c r="BW583" s="89">
        <f t="shared" si="173"/>
        <v>1</v>
      </c>
      <c r="BX583" s="89">
        <f t="shared" si="173"/>
        <v>1</v>
      </c>
      <c r="BY583" s="89">
        <f t="shared" si="173"/>
        <v>1</v>
      </c>
      <c r="BZ583" s="89">
        <f t="shared" si="173"/>
        <v>1</v>
      </c>
      <c r="CA583" s="89">
        <f t="shared" si="173"/>
        <v>1</v>
      </c>
      <c r="CB583" s="89">
        <f t="shared" si="173"/>
        <v>0</v>
      </c>
      <c r="CC583" s="89">
        <f t="shared" si="173"/>
        <v>0</v>
      </c>
      <c r="CD583" s="89">
        <f t="shared" si="173"/>
        <v>0</v>
      </c>
      <c r="CE583" s="89">
        <f t="shared" si="173"/>
        <v>0</v>
      </c>
      <c r="CF583" s="89">
        <f t="shared" si="173"/>
        <v>0</v>
      </c>
      <c r="CG583" s="89">
        <f t="shared" si="173"/>
        <v>0</v>
      </c>
      <c r="CH583" s="89">
        <f t="shared" si="173"/>
        <v>0</v>
      </c>
      <c r="CI583" s="89">
        <f t="shared" si="173"/>
        <v>0</v>
      </c>
      <c r="CJ583" s="89">
        <f t="shared" si="173"/>
        <v>0</v>
      </c>
      <c r="CK583" s="89">
        <f t="shared" si="173"/>
        <v>0</v>
      </c>
      <c r="CL583" s="89">
        <f t="shared" si="173"/>
        <v>0</v>
      </c>
      <c r="CM583" s="89">
        <f t="shared" si="173"/>
        <v>0</v>
      </c>
      <c r="CN583" s="89">
        <f t="shared" si="173"/>
        <v>0</v>
      </c>
      <c r="CO583" s="89">
        <f t="shared" si="173"/>
        <v>0</v>
      </c>
      <c r="CP583" s="89">
        <f t="shared" si="173"/>
        <v>0</v>
      </c>
      <c r="CQ583" s="28" t="s">
        <v>417</v>
      </c>
    </row>
    <row r="584" spans="1:95" s="8" customFormat="1" ht="14.25" hidden="1" customHeight="1" outlineLevel="1" x14ac:dyDescent="0.2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c r="BW584" s="89"/>
      <c r="BX584" s="89"/>
      <c r="BY584" s="89"/>
      <c r="BZ584" s="89"/>
      <c r="CA584" s="89"/>
      <c r="CB584" s="89"/>
      <c r="CC584" s="89"/>
      <c r="CD584" s="89"/>
      <c r="CE584" s="89"/>
      <c r="CF584" s="89"/>
      <c r="CG584" s="89"/>
      <c r="CH584" s="89"/>
      <c r="CI584" s="89"/>
      <c r="CJ584" s="89"/>
      <c r="CK584" s="89"/>
      <c r="CL584" s="89"/>
      <c r="CM584" s="89"/>
      <c r="CN584" s="89"/>
      <c r="CO584" s="89"/>
      <c r="CP584" s="89"/>
      <c r="CQ584" s="28"/>
    </row>
    <row r="585" spans="1:95" s="8" customFormat="1" ht="14.25" hidden="1" customHeight="1" outlineLevel="1" x14ac:dyDescent="0.25">
      <c r="A585" s="89"/>
      <c r="B585" s="89" t="s">
        <v>404</v>
      </c>
      <c r="C585" s="89"/>
      <c r="D585" s="89">
        <f>Opening_year_mask + Interpolation_mask + Forecast_year_mask + Extrapolation_mask</f>
        <v>0</v>
      </c>
      <c r="E585" s="89">
        <f t="shared" ref="E585:AI585" si="174">Opening_year_mask + Interpolation_mask + Forecast_year_mask + Extrapolation_mask</f>
        <v>0</v>
      </c>
      <c r="F585" s="89">
        <f t="shared" si="174"/>
        <v>0</v>
      </c>
      <c r="G585" s="89">
        <f t="shared" si="174"/>
        <v>0</v>
      </c>
      <c r="H585" s="89">
        <f t="shared" si="174"/>
        <v>0</v>
      </c>
      <c r="I585" s="89">
        <f t="shared" si="174"/>
        <v>0</v>
      </c>
      <c r="J585" s="89">
        <f t="shared" si="174"/>
        <v>0</v>
      </c>
      <c r="K585" s="89">
        <f t="shared" si="174"/>
        <v>0</v>
      </c>
      <c r="L585" s="89">
        <f t="shared" si="174"/>
        <v>0</v>
      </c>
      <c r="M585" s="89">
        <f t="shared" si="174"/>
        <v>0</v>
      </c>
      <c r="N585" s="89">
        <f t="shared" si="174"/>
        <v>0</v>
      </c>
      <c r="O585" s="89">
        <f t="shared" si="174"/>
        <v>0</v>
      </c>
      <c r="P585" s="89">
        <f t="shared" si="174"/>
        <v>0</v>
      </c>
      <c r="Q585" s="89">
        <f t="shared" si="174"/>
        <v>0</v>
      </c>
      <c r="R585" s="89">
        <f t="shared" si="174"/>
        <v>0</v>
      </c>
      <c r="S585" s="89">
        <f t="shared" si="174"/>
        <v>0</v>
      </c>
      <c r="T585" s="89">
        <f t="shared" si="174"/>
        <v>1</v>
      </c>
      <c r="U585" s="89">
        <f t="shared" si="174"/>
        <v>1</v>
      </c>
      <c r="V585" s="89">
        <f t="shared" si="174"/>
        <v>1</v>
      </c>
      <c r="W585" s="89">
        <f t="shared" si="174"/>
        <v>1</v>
      </c>
      <c r="X585" s="89">
        <f t="shared" si="174"/>
        <v>1</v>
      </c>
      <c r="Y585" s="89">
        <f t="shared" si="174"/>
        <v>1</v>
      </c>
      <c r="Z585" s="89">
        <f t="shared" si="174"/>
        <v>1</v>
      </c>
      <c r="AA585" s="89">
        <f t="shared" si="174"/>
        <v>1</v>
      </c>
      <c r="AB585" s="89">
        <f t="shared" si="174"/>
        <v>1</v>
      </c>
      <c r="AC585" s="89">
        <f t="shared" si="174"/>
        <v>1</v>
      </c>
      <c r="AD585" s="89">
        <f t="shared" si="174"/>
        <v>1</v>
      </c>
      <c r="AE585" s="89">
        <f t="shared" si="174"/>
        <v>1</v>
      </c>
      <c r="AF585" s="89">
        <f t="shared" si="174"/>
        <v>1</v>
      </c>
      <c r="AG585" s="89">
        <f t="shared" si="174"/>
        <v>1</v>
      </c>
      <c r="AH585" s="89">
        <f t="shared" si="174"/>
        <v>1</v>
      </c>
      <c r="AI585" s="89">
        <f t="shared" si="174"/>
        <v>1</v>
      </c>
      <c r="AJ585" s="89">
        <f t="shared" ref="AJ585:BO585" si="175">Opening_year_mask + Interpolation_mask + Forecast_year_mask + Extrapolation_mask</f>
        <v>1</v>
      </c>
      <c r="AK585" s="89">
        <f t="shared" si="175"/>
        <v>1</v>
      </c>
      <c r="AL585" s="89">
        <f t="shared" si="175"/>
        <v>1</v>
      </c>
      <c r="AM585" s="89">
        <f t="shared" si="175"/>
        <v>1</v>
      </c>
      <c r="AN585" s="89">
        <f t="shared" si="175"/>
        <v>1</v>
      </c>
      <c r="AO585" s="89">
        <f t="shared" si="175"/>
        <v>1</v>
      </c>
      <c r="AP585" s="89">
        <f t="shared" si="175"/>
        <v>1</v>
      </c>
      <c r="AQ585" s="89">
        <f t="shared" si="175"/>
        <v>1</v>
      </c>
      <c r="AR585" s="89">
        <f t="shared" si="175"/>
        <v>1</v>
      </c>
      <c r="AS585" s="89">
        <f t="shared" si="175"/>
        <v>1</v>
      </c>
      <c r="AT585" s="89">
        <f t="shared" si="175"/>
        <v>1</v>
      </c>
      <c r="AU585" s="89">
        <f t="shared" si="175"/>
        <v>1</v>
      </c>
      <c r="AV585" s="89">
        <f t="shared" si="175"/>
        <v>1</v>
      </c>
      <c r="AW585" s="89">
        <f t="shared" si="175"/>
        <v>1</v>
      </c>
      <c r="AX585" s="89">
        <f t="shared" si="175"/>
        <v>1</v>
      </c>
      <c r="AY585" s="89">
        <f t="shared" si="175"/>
        <v>1</v>
      </c>
      <c r="AZ585" s="89">
        <f t="shared" si="175"/>
        <v>1</v>
      </c>
      <c r="BA585" s="89">
        <f t="shared" si="175"/>
        <v>1</v>
      </c>
      <c r="BB585" s="89">
        <f t="shared" si="175"/>
        <v>1</v>
      </c>
      <c r="BC585" s="89">
        <f t="shared" si="175"/>
        <v>1</v>
      </c>
      <c r="BD585" s="89">
        <f t="shared" si="175"/>
        <v>1</v>
      </c>
      <c r="BE585" s="89">
        <f t="shared" si="175"/>
        <v>1</v>
      </c>
      <c r="BF585" s="89">
        <f t="shared" si="175"/>
        <v>1</v>
      </c>
      <c r="BG585" s="89">
        <f t="shared" si="175"/>
        <v>1</v>
      </c>
      <c r="BH585" s="89">
        <f t="shared" si="175"/>
        <v>1</v>
      </c>
      <c r="BI585" s="89">
        <f t="shared" si="175"/>
        <v>1</v>
      </c>
      <c r="BJ585" s="89">
        <f t="shared" si="175"/>
        <v>1</v>
      </c>
      <c r="BK585" s="89">
        <f t="shared" si="175"/>
        <v>1</v>
      </c>
      <c r="BL585" s="89">
        <f t="shared" si="175"/>
        <v>1</v>
      </c>
      <c r="BM585" s="89">
        <f t="shared" si="175"/>
        <v>1</v>
      </c>
      <c r="BN585" s="89">
        <f t="shared" si="175"/>
        <v>1</v>
      </c>
      <c r="BO585" s="89">
        <f t="shared" si="175"/>
        <v>1</v>
      </c>
      <c r="BP585" s="89">
        <f t="shared" ref="BP585:CP585" si="176">Opening_year_mask + Interpolation_mask + Forecast_year_mask + Extrapolation_mask</f>
        <v>1</v>
      </c>
      <c r="BQ585" s="89">
        <f t="shared" si="176"/>
        <v>1</v>
      </c>
      <c r="BR585" s="89">
        <f t="shared" si="176"/>
        <v>1</v>
      </c>
      <c r="BS585" s="89">
        <f t="shared" si="176"/>
        <v>1</v>
      </c>
      <c r="BT585" s="89">
        <f t="shared" si="176"/>
        <v>1</v>
      </c>
      <c r="BU585" s="89">
        <f t="shared" si="176"/>
        <v>1</v>
      </c>
      <c r="BV585" s="89">
        <f t="shared" si="176"/>
        <v>1</v>
      </c>
      <c r="BW585" s="89">
        <f t="shared" si="176"/>
        <v>1</v>
      </c>
      <c r="BX585" s="89">
        <f t="shared" si="176"/>
        <v>1</v>
      </c>
      <c r="BY585" s="89">
        <f t="shared" si="176"/>
        <v>1</v>
      </c>
      <c r="BZ585" s="89">
        <f t="shared" si="176"/>
        <v>1</v>
      </c>
      <c r="CA585" s="89">
        <f t="shared" si="176"/>
        <v>1</v>
      </c>
      <c r="CB585" s="89">
        <f t="shared" si="176"/>
        <v>0</v>
      </c>
      <c r="CC585" s="89">
        <f t="shared" si="176"/>
        <v>0</v>
      </c>
      <c r="CD585" s="89">
        <f t="shared" si="176"/>
        <v>0</v>
      </c>
      <c r="CE585" s="89">
        <f t="shared" si="176"/>
        <v>0</v>
      </c>
      <c r="CF585" s="89">
        <f t="shared" si="176"/>
        <v>0</v>
      </c>
      <c r="CG585" s="89">
        <f t="shared" si="176"/>
        <v>0</v>
      </c>
      <c r="CH585" s="89">
        <f t="shared" si="176"/>
        <v>0</v>
      </c>
      <c r="CI585" s="89">
        <f t="shared" si="176"/>
        <v>0</v>
      </c>
      <c r="CJ585" s="89">
        <f t="shared" si="176"/>
        <v>0</v>
      </c>
      <c r="CK585" s="89">
        <f t="shared" si="176"/>
        <v>0</v>
      </c>
      <c r="CL585" s="89">
        <f t="shared" si="176"/>
        <v>0</v>
      </c>
      <c r="CM585" s="89">
        <f t="shared" si="176"/>
        <v>0</v>
      </c>
      <c r="CN585" s="89">
        <f t="shared" si="176"/>
        <v>0</v>
      </c>
      <c r="CO585" s="89">
        <f t="shared" si="176"/>
        <v>0</v>
      </c>
      <c r="CP585" s="89">
        <f t="shared" si="176"/>
        <v>0</v>
      </c>
      <c r="CQ585" s="28" t="s">
        <v>418</v>
      </c>
    </row>
    <row r="586" spans="1:95" s="8" customFormat="1" ht="14.25" hidden="1" customHeight="1" outlineLevel="1" x14ac:dyDescent="0.2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c r="BW586" s="89"/>
      <c r="BX586" s="89"/>
      <c r="BY586" s="89"/>
      <c r="BZ586" s="89"/>
      <c r="CA586" s="89"/>
      <c r="CB586" s="89"/>
      <c r="CC586" s="89"/>
      <c r="CD586" s="89"/>
      <c r="CE586" s="89"/>
      <c r="CF586" s="89"/>
      <c r="CG586" s="89"/>
      <c r="CH586" s="89"/>
      <c r="CI586" s="89"/>
      <c r="CJ586" s="89"/>
      <c r="CK586" s="89"/>
      <c r="CL586" s="89"/>
      <c r="CM586" s="89"/>
      <c r="CN586" s="89"/>
      <c r="CO586" s="89"/>
      <c r="CP586" s="89"/>
      <c r="CQ586" s="28"/>
    </row>
    <row r="587" spans="1:95" s="8" customFormat="1" ht="14.25" hidden="1" customHeight="1" outlineLevel="1" x14ac:dyDescent="0.25">
      <c r="A587" s="89"/>
      <c r="B587" s="89" t="s">
        <v>419</v>
      </c>
      <c r="C587" s="89" t="b">
        <f>SUM(Appraisal_period)=Appraisal_period_length</f>
        <v>1</v>
      </c>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c r="BW587" s="89"/>
      <c r="BX587" s="89"/>
      <c r="BY587" s="89"/>
      <c r="BZ587" s="89"/>
      <c r="CA587" s="89"/>
      <c r="CB587" s="89"/>
      <c r="CC587" s="89"/>
      <c r="CD587" s="89"/>
      <c r="CE587" s="89"/>
      <c r="CF587" s="89"/>
      <c r="CG587" s="89"/>
      <c r="CH587" s="89"/>
      <c r="CI587" s="89"/>
      <c r="CJ587" s="89"/>
      <c r="CK587" s="89"/>
      <c r="CL587" s="89"/>
      <c r="CM587" s="89"/>
      <c r="CN587" s="89"/>
      <c r="CO587" s="89"/>
      <c r="CP587" s="89"/>
      <c r="CQ587" s="89"/>
    </row>
    <row r="588" spans="1:95" s="8" customFormat="1" ht="14.25" hidden="1" customHeight="1" outlineLevel="1" x14ac:dyDescent="0.25">
      <c r="A588" s="89"/>
      <c r="B588" s="133"/>
      <c r="C588" s="133"/>
      <c r="D588" s="133"/>
      <c r="E588" s="133"/>
      <c r="F588" s="133"/>
      <c r="G588" s="133"/>
      <c r="H588" s="133"/>
      <c r="I588" s="133"/>
      <c r="J588" s="133"/>
      <c r="K588" s="133"/>
      <c r="L588" s="133"/>
      <c r="M588" s="133"/>
      <c r="N588" s="133"/>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89"/>
    </row>
    <row r="589" spans="1:95" s="5" customFormat="1" ht="18.75" hidden="1" customHeight="1" outlineLevel="2" x14ac:dyDescent="0.25">
      <c r="B589" s="5" t="s">
        <v>430</v>
      </c>
    </row>
    <row r="590" spans="1:95" s="4" customFormat="1" ht="18.75" hidden="1" customHeight="1" outlineLevel="2" x14ac:dyDescent="0.3">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93"/>
      <c r="AY590" s="93"/>
      <c r="AZ590" s="93"/>
      <c r="BA590" s="93"/>
      <c r="BB590" s="93"/>
      <c r="BC590" s="93"/>
      <c r="BD590" s="93"/>
      <c r="BE590" s="93"/>
      <c r="BF590" s="93"/>
      <c r="BG590" s="93"/>
      <c r="BH590" s="93"/>
      <c r="BI590" s="93"/>
      <c r="BJ590" s="93"/>
      <c r="BK590" s="93"/>
      <c r="BL590" s="93"/>
      <c r="BM590" s="93"/>
      <c r="BN590" s="93"/>
      <c r="BO590" s="93"/>
      <c r="BP590" s="93"/>
      <c r="BQ590" s="93"/>
      <c r="BR590" s="93"/>
      <c r="BS590" s="93"/>
      <c r="BT590" s="93"/>
      <c r="BU590" s="93"/>
      <c r="BV590" s="93"/>
      <c r="BW590" s="93"/>
      <c r="BX590" s="93"/>
      <c r="BY590" s="93"/>
      <c r="BZ590" s="93"/>
      <c r="CA590" s="93"/>
      <c r="CB590" s="93"/>
      <c r="CC590" s="93"/>
      <c r="CD590" s="93"/>
      <c r="CE590" s="93"/>
      <c r="CF590" s="93"/>
      <c r="CG590" s="93"/>
      <c r="CH590" s="93"/>
      <c r="CI590" s="93"/>
      <c r="CJ590" s="93"/>
      <c r="CK590" s="93"/>
      <c r="CL590" s="93"/>
      <c r="CM590" s="93"/>
      <c r="CN590" s="93"/>
      <c r="CO590" s="93"/>
      <c r="CP590" s="93"/>
      <c r="CQ590" s="93"/>
    </row>
    <row r="591" spans="1:95" s="8" customFormat="1" ht="14.25" hidden="1" customHeight="1" outlineLevel="2" x14ac:dyDescent="0.25">
      <c r="A591" s="89"/>
      <c r="B591" s="133"/>
      <c r="C591" s="133"/>
      <c r="D591" s="16">
        <v>2010</v>
      </c>
      <c r="E591" s="16">
        <v>2011</v>
      </c>
      <c r="F591" s="16">
        <v>2012</v>
      </c>
      <c r="G591" s="16">
        <v>2013</v>
      </c>
      <c r="H591" s="16">
        <v>2014</v>
      </c>
      <c r="I591" s="16">
        <v>2015</v>
      </c>
      <c r="J591" s="16">
        <v>2016</v>
      </c>
      <c r="K591" s="16">
        <v>2017</v>
      </c>
      <c r="L591" s="16">
        <v>2018</v>
      </c>
      <c r="M591" s="16">
        <v>2019</v>
      </c>
      <c r="N591" s="16">
        <v>2020</v>
      </c>
      <c r="O591" s="16">
        <v>2021</v>
      </c>
      <c r="P591" s="16">
        <v>2022</v>
      </c>
      <c r="Q591" s="16">
        <v>2023</v>
      </c>
      <c r="R591" s="16">
        <v>2024</v>
      </c>
      <c r="S591" s="16">
        <v>2025</v>
      </c>
      <c r="T591" s="16">
        <v>2026</v>
      </c>
      <c r="U591" s="16">
        <v>2027</v>
      </c>
      <c r="V591" s="16">
        <v>2028</v>
      </c>
      <c r="W591" s="16">
        <v>2029</v>
      </c>
      <c r="X591" s="16">
        <v>2030</v>
      </c>
      <c r="Y591" s="16">
        <v>2031</v>
      </c>
      <c r="Z591" s="16">
        <v>2032</v>
      </c>
      <c r="AA591" s="16">
        <v>2033</v>
      </c>
      <c r="AB591" s="16">
        <v>2034</v>
      </c>
      <c r="AC591" s="16">
        <v>2035</v>
      </c>
      <c r="AD591" s="16">
        <v>2036</v>
      </c>
      <c r="AE591" s="16">
        <v>2037</v>
      </c>
      <c r="AF591" s="16">
        <v>2038</v>
      </c>
      <c r="AG591" s="16">
        <v>2039</v>
      </c>
      <c r="AH591" s="16">
        <v>2040</v>
      </c>
      <c r="AI591" s="16">
        <v>2041</v>
      </c>
      <c r="AJ591" s="16">
        <v>2042</v>
      </c>
      <c r="AK591" s="16">
        <v>2043</v>
      </c>
      <c r="AL591" s="16">
        <v>2044</v>
      </c>
      <c r="AM591" s="16">
        <v>2045</v>
      </c>
      <c r="AN591" s="16">
        <v>2046</v>
      </c>
      <c r="AO591" s="16">
        <v>2047</v>
      </c>
      <c r="AP591" s="16">
        <v>2048</v>
      </c>
      <c r="AQ591" s="16">
        <v>2049</v>
      </c>
      <c r="AR591" s="16">
        <v>2050</v>
      </c>
      <c r="AS591" s="16">
        <v>2051</v>
      </c>
      <c r="AT591" s="16">
        <v>2052</v>
      </c>
      <c r="AU591" s="16">
        <v>2053</v>
      </c>
      <c r="AV591" s="16">
        <v>2054</v>
      </c>
      <c r="AW591" s="16">
        <v>2055</v>
      </c>
      <c r="AX591" s="16">
        <v>2056</v>
      </c>
      <c r="AY591" s="16">
        <v>2057</v>
      </c>
      <c r="AZ591" s="16">
        <v>2058</v>
      </c>
      <c r="BA591" s="16">
        <v>2059</v>
      </c>
      <c r="BB591" s="16">
        <v>2060</v>
      </c>
      <c r="BC591" s="16">
        <v>2061</v>
      </c>
      <c r="BD591" s="16">
        <v>2062</v>
      </c>
      <c r="BE591" s="16">
        <v>2063</v>
      </c>
      <c r="BF591" s="16">
        <v>2064</v>
      </c>
      <c r="BG591" s="16">
        <v>2065</v>
      </c>
      <c r="BH591" s="16">
        <v>2066</v>
      </c>
      <c r="BI591" s="16">
        <v>2067</v>
      </c>
      <c r="BJ591" s="16">
        <v>2068</v>
      </c>
      <c r="BK591" s="16">
        <v>2069</v>
      </c>
      <c r="BL591" s="16">
        <v>2070</v>
      </c>
      <c r="BM591" s="16">
        <v>2071</v>
      </c>
      <c r="BN591" s="16">
        <v>2072</v>
      </c>
      <c r="BO591" s="16">
        <v>2073</v>
      </c>
      <c r="BP591" s="16">
        <v>2074</v>
      </c>
      <c r="BQ591" s="16">
        <v>2075</v>
      </c>
      <c r="BR591" s="16">
        <v>2076</v>
      </c>
      <c r="BS591" s="16">
        <v>2077</v>
      </c>
      <c r="BT591" s="16">
        <v>2078</v>
      </c>
      <c r="BU591" s="16">
        <v>2079</v>
      </c>
      <c r="BV591" s="16">
        <v>2080</v>
      </c>
      <c r="BW591" s="16">
        <v>2081</v>
      </c>
      <c r="BX591" s="16">
        <v>2082</v>
      </c>
      <c r="BY591" s="16">
        <v>2083</v>
      </c>
      <c r="BZ591" s="16">
        <v>2084</v>
      </c>
      <c r="CA591" s="16">
        <v>2085</v>
      </c>
      <c r="CB591" s="16">
        <v>2086</v>
      </c>
      <c r="CC591" s="16">
        <v>2087</v>
      </c>
      <c r="CD591" s="16">
        <v>2088</v>
      </c>
      <c r="CE591" s="16">
        <v>2089</v>
      </c>
      <c r="CF591" s="16">
        <v>2090</v>
      </c>
      <c r="CG591" s="16">
        <v>2091</v>
      </c>
      <c r="CH591" s="16">
        <v>2092</v>
      </c>
      <c r="CI591" s="16">
        <v>2093</v>
      </c>
      <c r="CJ591" s="16">
        <v>2094</v>
      </c>
      <c r="CK591" s="16">
        <v>2095</v>
      </c>
      <c r="CL591" s="16">
        <v>2096</v>
      </c>
      <c r="CM591" s="16">
        <v>2097</v>
      </c>
      <c r="CN591" s="16">
        <v>2098</v>
      </c>
      <c r="CO591" s="16">
        <v>2099</v>
      </c>
      <c r="CP591" s="16">
        <v>2100</v>
      </c>
      <c r="CQ591" s="89"/>
    </row>
    <row r="592" spans="1:95" s="8" customFormat="1" ht="15" hidden="1" outlineLevel="2" x14ac:dyDescent="0.25">
      <c r="A592" s="89"/>
      <c r="B592" s="89" t="s">
        <v>3</v>
      </c>
      <c r="C592" s="89"/>
      <c r="D592" s="156">
        <f t="shared" ref="D592:AI592" si="177">Opening_year_sleep_disturbance_cost*Opening_year_mask</f>
        <v>0</v>
      </c>
      <c r="E592" s="156">
        <f t="shared" si="177"/>
        <v>0</v>
      </c>
      <c r="F592" s="156">
        <f t="shared" si="177"/>
        <v>0</v>
      </c>
      <c r="G592" s="156">
        <f t="shared" si="177"/>
        <v>0</v>
      </c>
      <c r="H592" s="156">
        <f t="shared" si="177"/>
        <v>0</v>
      </c>
      <c r="I592" s="156">
        <f t="shared" si="177"/>
        <v>0</v>
      </c>
      <c r="J592" s="156">
        <f t="shared" si="177"/>
        <v>0</v>
      </c>
      <c r="K592" s="156">
        <f t="shared" si="177"/>
        <v>0</v>
      </c>
      <c r="L592" s="156">
        <f t="shared" si="177"/>
        <v>0</v>
      </c>
      <c r="M592" s="156">
        <f t="shared" si="177"/>
        <v>0</v>
      </c>
      <c r="N592" s="156">
        <f t="shared" si="177"/>
        <v>0</v>
      </c>
      <c r="O592" s="156">
        <f t="shared" si="177"/>
        <v>0</v>
      </c>
      <c r="P592" s="156">
        <f t="shared" si="177"/>
        <v>0</v>
      </c>
      <c r="Q592" s="156">
        <f t="shared" si="177"/>
        <v>0</v>
      </c>
      <c r="R592" s="156">
        <f t="shared" si="177"/>
        <v>0</v>
      </c>
      <c r="S592" s="156">
        <f t="shared" si="177"/>
        <v>0</v>
      </c>
      <c r="T592" s="156">
        <f t="shared" si="177"/>
        <v>-230720.84474835728</v>
      </c>
      <c r="U592" s="156">
        <f t="shared" si="177"/>
        <v>0</v>
      </c>
      <c r="V592" s="156">
        <f t="shared" si="177"/>
        <v>0</v>
      </c>
      <c r="W592" s="156">
        <f t="shared" si="177"/>
        <v>0</v>
      </c>
      <c r="X592" s="156">
        <f t="shared" si="177"/>
        <v>0</v>
      </c>
      <c r="Y592" s="156">
        <f t="shared" si="177"/>
        <v>0</v>
      </c>
      <c r="Z592" s="156">
        <f t="shared" si="177"/>
        <v>0</v>
      </c>
      <c r="AA592" s="156">
        <f t="shared" si="177"/>
        <v>0</v>
      </c>
      <c r="AB592" s="156">
        <f t="shared" si="177"/>
        <v>0</v>
      </c>
      <c r="AC592" s="156">
        <f t="shared" si="177"/>
        <v>0</v>
      </c>
      <c r="AD592" s="156">
        <f t="shared" si="177"/>
        <v>0</v>
      </c>
      <c r="AE592" s="156">
        <f t="shared" si="177"/>
        <v>0</v>
      </c>
      <c r="AF592" s="156">
        <f t="shared" si="177"/>
        <v>0</v>
      </c>
      <c r="AG592" s="156">
        <f t="shared" si="177"/>
        <v>0</v>
      </c>
      <c r="AH592" s="156">
        <f t="shared" si="177"/>
        <v>0</v>
      </c>
      <c r="AI592" s="156">
        <f t="shared" si="177"/>
        <v>0</v>
      </c>
      <c r="AJ592" s="156">
        <f t="shared" ref="AJ592:BO592" si="178">Opening_year_sleep_disturbance_cost*Opening_year_mask</f>
        <v>0</v>
      </c>
      <c r="AK592" s="156">
        <f t="shared" si="178"/>
        <v>0</v>
      </c>
      <c r="AL592" s="156">
        <f t="shared" si="178"/>
        <v>0</v>
      </c>
      <c r="AM592" s="156">
        <f t="shared" si="178"/>
        <v>0</v>
      </c>
      <c r="AN592" s="156">
        <f t="shared" si="178"/>
        <v>0</v>
      </c>
      <c r="AO592" s="156">
        <f t="shared" si="178"/>
        <v>0</v>
      </c>
      <c r="AP592" s="156">
        <f t="shared" si="178"/>
        <v>0</v>
      </c>
      <c r="AQ592" s="156">
        <f t="shared" si="178"/>
        <v>0</v>
      </c>
      <c r="AR592" s="156">
        <f t="shared" si="178"/>
        <v>0</v>
      </c>
      <c r="AS592" s="156">
        <f t="shared" si="178"/>
        <v>0</v>
      </c>
      <c r="AT592" s="156">
        <f t="shared" si="178"/>
        <v>0</v>
      </c>
      <c r="AU592" s="156">
        <f t="shared" si="178"/>
        <v>0</v>
      </c>
      <c r="AV592" s="156">
        <f t="shared" si="178"/>
        <v>0</v>
      </c>
      <c r="AW592" s="156">
        <f t="shared" si="178"/>
        <v>0</v>
      </c>
      <c r="AX592" s="156">
        <f t="shared" si="178"/>
        <v>0</v>
      </c>
      <c r="AY592" s="156">
        <f t="shared" si="178"/>
        <v>0</v>
      </c>
      <c r="AZ592" s="156">
        <f t="shared" si="178"/>
        <v>0</v>
      </c>
      <c r="BA592" s="156">
        <f t="shared" si="178"/>
        <v>0</v>
      </c>
      <c r="BB592" s="156">
        <f t="shared" si="178"/>
        <v>0</v>
      </c>
      <c r="BC592" s="156">
        <f t="shared" si="178"/>
        <v>0</v>
      </c>
      <c r="BD592" s="156">
        <f t="shared" si="178"/>
        <v>0</v>
      </c>
      <c r="BE592" s="156">
        <f t="shared" si="178"/>
        <v>0</v>
      </c>
      <c r="BF592" s="156">
        <f t="shared" si="178"/>
        <v>0</v>
      </c>
      <c r="BG592" s="156">
        <f t="shared" si="178"/>
        <v>0</v>
      </c>
      <c r="BH592" s="156">
        <f t="shared" si="178"/>
        <v>0</v>
      </c>
      <c r="BI592" s="156">
        <f t="shared" si="178"/>
        <v>0</v>
      </c>
      <c r="BJ592" s="156">
        <f t="shared" si="178"/>
        <v>0</v>
      </c>
      <c r="BK592" s="156">
        <f t="shared" si="178"/>
        <v>0</v>
      </c>
      <c r="BL592" s="156">
        <f t="shared" si="178"/>
        <v>0</v>
      </c>
      <c r="BM592" s="156">
        <f t="shared" si="178"/>
        <v>0</v>
      </c>
      <c r="BN592" s="156">
        <f t="shared" si="178"/>
        <v>0</v>
      </c>
      <c r="BO592" s="156">
        <f t="shared" si="178"/>
        <v>0</v>
      </c>
      <c r="BP592" s="156">
        <f t="shared" ref="BP592:CP592" si="179">Opening_year_sleep_disturbance_cost*Opening_year_mask</f>
        <v>0</v>
      </c>
      <c r="BQ592" s="156">
        <f t="shared" si="179"/>
        <v>0</v>
      </c>
      <c r="BR592" s="156">
        <f t="shared" si="179"/>
        <v>0</v>
      </c>
      <c r="BS592" s="156">
        <f t="shared" si="179"/>
        <v>0</v>
      </c>
      <c r="BT592" s="156">
        <f t="shared" si="179"/>
        <v>0</v>
      </c>
      <c r="BU592" s="156">
        <f t="shared" si="179"/>
        <v>0</v>
      </c>
      <c r="BV592" s="156">
        <f t="shared" si="179"/>
        <v>0</v>
      </c>
      <c r="BW592" s="156">
        <f t="shared" si="179"/>
        <v>0</v>
      </c>
      <c r="BX592" s="156">
        <f t="shared" si="179"/>
        <v>0</v>
      </c>
      <c r="BY592" s="156">
        <f t="shared" si="179"/>
        <v>0</v>
      </c>
      <c r="BZ592" s="156">
        <f t="shared" si="179"/>
        <v>0</v>
      </c>
      <c r="CA592" s="156">
        <f t="shared" si="179"/>
        <v>0</v>
      </c>
      <c r="CB592" s="156">
        <f t="shared" si="179"/>
        <v>0</v>
      </c>
      <c r="CC592" s="156">
        <f t="shared" si="179"/>
        <v>0</v>
      </c>
      <c r="CD592" s="156">
        <f t="shared" si="179"/>
        <v>0</v>
      </c>
      <c r="CE592" s="156">
        <f t="shared" si="179"/>
        <v>0</v>
      </c>
      <c r="CF592" s="156">
        <f t="shared" si="179"/>
        <v>0</v>
      </c>
      <c r="CG592" s="156">
        <f t="shared" si="179"/>
        <v>0</v>
      </c>
      <c r="CH592" s="156">
        <f t="shared" si="179"/>
        <v>0</v>
      </c>
      <c r="CI592" s="156">
        <f t="shared" si="179"/>
        <v>0</v>
      </c>
      <c r="CJ592" s="156">
        <f t="shared" si="179"/>
        <v>0</v>
      </c>
      <c r="CK592" s="156">
        <f t="shared" si="179"/>
        <v>0</v>
      </c>
      <c r="CL592" s="156">
        <f t="shared" si="179"/>
        <v>0</v>
      </c>
      <c r="CM592" s="156">
        <f t="shared" si="179"/>
        <v>0</v>
      </c>
      <c r="CN592" s="156">
        <f t="shared" si="179"/>
        <v>0</v>
      </c>
      <c r="CO592" s="156">
        <f t="shared" si="179"/>
        <v>0</v>
      </c>
      <c r="CP592" s="156">
        <f t="shared" si="179"/>
        <v>0</v>
      </c>
      <c r="CQ592" s="28" t="s">
        <v>431</v>
      </c>
    </row>
    <row r="593" spans="1:95" s="8" customFormat="1" ht="15" hidden="1" outlineLevel="2" x14ac:dyDescent="0.25">
      <c r="A593" s="89"/>
      <c r="B593" s="89" t="s">
        <v>5</v>
      </c>
      <c r="C593" s="89"/>
      <c r="D593" s="156">
        <f t="shared" ref="D593:AI593" si="180">Forecast_year_sleep_disturbance_cost*Forecast_year_mask</f>
        <v>0</v>
      </c>
      <c r="E593" s="156">
        <f t="shared" si="180"/>
        <v>0</v>
      </c>
      <c r="F593" s="156">
        <f t="shared" si="180"/>
        <v>0</v>
      </c>
      <c r="G593" s="156">
        <f t="shared" si="180"/>
        <v>0</v>
      </c>
      <c r="H593" s="156">
        <f t="shared" si="180"/>
        <v>0</v>
      </c>
      <c r="I593" s="156">
        <f t="shared" si="180"/>
        <v>0</v>
      </c>
      <c r="J593" s="156">
        <f t="shared" si="180"/>
        <v>0</v>
      </c>
      <c r="K593" s="156">
        <f t="shared" si="180"/>
        <v>0</v>
      </c>
      <c r="L593" s="156">
        <f t="shared" si="180"/>
        <v>0</v>
      </c>
      <c r="M593" s="156">
        <f t="shared" si="180"/>
        <v>0</v>
      </c>
      <c r="N593" s="156">
        <f t="shared" si="180"/>
        <v>0</v>
      </c>
      <c r="O593" s="156">
        <f t="shared" si="180"/>
        <v>0</v>
      </c>
      <c r="P593" s="156">
        <f t="shared" si="180"/>
        <v>0</v>
      </c>
      <c r="Q593" s="156">
        <f t="shared" si="180"/>
        <v>0</v>
      </c>
      <c r="R593" s="156">
        <f t="shared" si="180"/>
        <v>0</v>
      </c>
      <c r="S593" s="156">
        <f t="shared" si="180"/>
        <v>0</v>
      </c>
      <c r="T593" s="156">
        <f t="shared" si="180"/>
        <v>0</v>
      </c>
      <c r="U593" s="156">
        <f t="shared" si="180"/>
        <v>0</v>
      </c>
      <c r="V593" s="156">
        <f t="shared" si="180"/>
        <v>0</v>
      </c>
      <c r="W593" s="156">
        <f t="shared" si="180"/>
        <v>0</v>
      </c>
      <c r="X593" s="156">
        <f t="shared" si="180"/>
        <v>0</v>
      </c>
      <c r="Y593" s="156">
        <f t="shared" si="180"/>
        <v>0</v>
      </c>
      <c r="Z593" s="156">
        <f t="shared" si="180"/>
        <v>0</v>
      </c>
      <c r="AA593" s="156">
        <f t="shared" si="180"/>
        <v>0</v>
      </c>
      <c r="AB593" s="156">
        <f t="shared" si="180"/>
        <v>0</v>
      </c>
      <c r="AC593" s="156">
        <f t="shared" si="180"/>
        <v>0</v>
      </c>
      <c r="AD593" s="156">
        <f t="shared" si="180"/>
        <v>-278122.59319037769</v>
      </c>
      <c r="AE593" s="156">
        <f t="shared" si="180"/>
        <v>0</v>
      </c>
      <c r="AF593" s="156">
        <f t="shared" si="180"/>
        <v>0</v>
      </c>
      <c r="AG593" s="156">
        <f t="shared" si="180"/>
        <v>0</v>
      </c>
      <c r="AH593" s="156">
        <f t="shared" si="180"/>
        <v>0</v>
      </c>
      <c r="AI593" s="156">
        <f t="shared" si="180"/>
        <v>0</v>
      </c>
      <c r="AJ593" s="156">
        <f t="shared" ref="AJ593:BO593" si="181">Forecast_year_sleep_disturbance_cost*Forecast_year_mask</f>
        <v>0</v>
      </c>
      <c r="AK593" s="156">
        <f t="shared" si="181"/>
        <v>0</v>
      </c>
      <c r="AL593" s="156">
        <f t="shared" si="181"/>
        <v>0</v>
      </c>
      <c r="AM593" s="156">
        <f t="shared" si="181"/>
        <v>0</v>
      </c>
      <c r="AN593" s="156">
        <f t="shared" si="181"/>
        <v>0</v>
      </c>
      <c r="AO593" s="156">
        <f t="shared" si="181"/>
        <v>0</v>
      </c>
      <c r="AP593" s="156">
        <f t="shared" si="181"/>
        <v>0</v>
      </c>
      <c r="AQ593" s="156">
        <f t="shared" si="181"/>
        <v>0</v>
      </c>
      <c r="AR593" s="156">
        <f t="shared" si="181"/>
        <v>0</v>
      </c>
      <c r="AS593" s="156">
        <f t="shared" si="181"/>
        <v>0</v>
      </c>
      <c r="AT593" s="156">
        <f t="shared" si="181"/>
        <v>0</v>
      </c>
      <c r="AU593" s="156">
        <f t="shared" si="181"/>
        <v>0</v>
      </c>
      <c r="AV593" s="156">
        <f t="shared" si="181"/>
        <v>0</v>
      </c>
      <c r="AW593" s="156">
        <f t="shared" si="181"/>
        <v>0</v>
      </c>
      <c r="AX593" s="156">
        <f t="shared" si="181"/>
        <v>0</v>
      </c>
      <c r="AY593" s="156">
        <f t="shared" si="181"/>
        <v>0</v>
      </c>
      <c r="AZ593" s="156">
        <f t="shared" si="181"/>
        <v>0</v>
      </c>
      <c r="BA593" s="156">
        <f t="shared" si="181"/>
        <v>0</v>
      </c>
      <c r="BB593" s="156">
        <f t="shared" si="181"/>
        <v>0</v>
      </c>
      <c r="BC593" s="156">
        <f t="shared" si="181"/>
        <v>0</v>
      </c>
      <c r="BD593" s="156">
        <f t="shared" si="181"/>
        <v>0</v>
      </c>
      <c r="BE593" s="156">
        <f t="shared" si="181"/>
        <v>0</v>
      </c>
      <c r="BF593" s="156">
        <f t="shared" si="181"/>
        <v>0</v>
      </c>
      <c r="BG593" s="156">
        <f t="shared" si="181"/>
        <v>0</v>
      </c>
      <c r="BH593" s="156">
        <f t="shared" si="181"/>
        <v>0</v>
      </c>
      <c r="BI593" s="156">
        <f t="shared" si="181"/>
        <v>0</v>
      </c>
      <c r="BJ593" s="156">
        <f t="shared" si="181"/>
        <v>0</v>
      </c>
      <c r="BK593" s="156">
        <f t="shared" si="181"/>
        <v>0</v>
      </c>
      <c r="BL593" s="156">
        <f t="shared" si="181"/>
        <v>0</v>
      </c>
      <c r="BM593" s="156">
        <f t="shared" si="181"/>
        <v>0</v>
      </c>
      <c r="BN593" s="156">
        <f t="shared" si="181"/>
        <v>0</v>
      </c>
      <c r="BO593" s="156">
        <f t="shared" si="181"/>
        <v>0</v>
      </c>
      <c r="BP593" s="156">
        <f t="shared" ref="BP593:CP593" si="182">Forecast_year_sleep_disturbance_cost*Forecast_year_mask</f>
        <v>0</v>
      </c>
      <c r="BQ593" s="156">
        <f t="shared" si="182"/>
        <v>0</v>
      </c>
      <c r="BR593" s="156">
        <f t="shared" si="182"/>
        <v>0</v>
      </c>
      <c r="BS593" s="156">
        <f t="shared" si="182"/>
        <v>0</v>
      </c>
      <c r="BT593" s="156">
        <f t="shared" si="182"/>
        <v>0</v>
      </c>
      <c r="BU593" s="156">
        <f t="shared" si="182"/>
        <v>0</v>
      </c>
      <c r="BV593" s="156">
        <f t="shared" si="182"/>
        <v>0</v>
      </c>
      <c r="BW593" s="156">
        <f t="shared" si="182"/>
        <v>0</v>
      </c>
      <c r="BX593" s="156">
        <f t="shared" si="182"/>
        <v>0</v>
      </c>
      <c r="BY593" s="156">
        <f t="shared" si="182"/>
        <v>0</v>
      </c>
      <c r="BZ593" s="156">
        <f t="shared" si="182"/>
        <v>0</v>
      </c>
      <c r="CA593" s="156">
        <f t="shared" si="182"/>
        <v>0</v>
      </c>
      <c r="CB593" s="156">
        <f t="shared" si="182"/>
        <v>0</v>
      </c>
      <c r="CC593" s="156">
        <f t="shared" si="182"/>
        <v>0</v>
      </c>
      <c r="CD593" s="156">
        <f t="shared" si="182"/>
        <v>0</v>
      </c>
      <c r="CE593" s="156">
        <f t="shared" si="182"/>
        <v>0</v>
      </c>
      <c r="CF593" s="156">
        <f t="shared" si="182"/>
        <v>0</v>
      </c>
      <c r="CG593" s="156">
        <f t="shared" si="182"/>
        <v>0</v>
      </c>
      <c r="CH593" s="156">
        <f t="shared" si="182"/>
        <v>0</v>
      </c>
      <c r="CI593" s="156">
        <f t="shared" si="182"/>
        <v>0</v>
      </c>
      <c r="CJ593" s="156">
        <f t="shared" si="182"/>
        <v>0</v>
      </c>
      <c r="CK593" s="156">
        <f t="shared" si="182"/>
        <v>0</v>
      </c>
      <c r="CL593" s="156">
        <f t="shared" si="182"/>
        <v>0</v>
      </c>
      <c r="CM593" s="156">
        <f t="shared" si="182"/>
        <v>0</v>
      </c>
      <c r="CN593" s="156">
        <f t="shared" si="182"/>
        <v>0</v>
      </c>
      <c r="CO593" s="156">
        <f t="shared" si="182"/>
        <v>0</v>
      </c>
      <c r="CP593" s="156">
        <f t="shared" si="182"/>
        <v>0</v>
      </c>
      <c r="CQ593" s="28" t="s">
        <v>433</v>
      </c>
    </row>
    <row r="594" spans="1:95" s="8" customFormat="1" ht="15" hidden="1" outlineLevel="2" x14ac:dyDescent="0.25">
      <c r="A594" s="89"/>
      <c r="B594" s="89" t="s">
        <v>414</v>
      </c>
      <c r="C594" s="89"/>
      <c r="D594" s="156">
        <f t="shared" ref="D594:AI594" si="183">(Opening_year_sleep_disturbance_cost+(Difference_sleep_disturbance_cost)*(year-Opening_year)/(Forecast_and_opening_year_difference))*Interpolation_mask</f>
        <v>0</v>
      </c>
      <c r="E594" s="156">
        <f t="shared" si="183"/>
        <v>0</v>
      </c>
      <c r="F594" s="156">
        <f t="shared" si="183"/>
        <v>0</v>
      </c>
      <c r="G594" s="156">
        <f t="shared" si="183"/>
        <v>0</v>
      </c>
      <c r="H594" s="156">
        <f t="shared" si="183"/>
        <v>0</v>
      </c>
      <c r="I594" s="156">
        <f t="shared" si="183"/>
        <v>0</v>
      </c>
      <c r="J594" s="156">
        <f>(Opening_year_sleep_disturbance_cost+(Difference_sleep_disturbance_cost)*(year-Opening_year)/(Forecast_and_opening_year_difference))*Interpolation_mask</f>
        <v>0</v>
      </c>
      <c r="K594" s="156">
        <f t="shared" si="183"/>
        <v>0</v>
      </c>
      <c r="L594" s="156">
        <f t="shared" si="183"/>
        <v>0</v>
      </c>
      <c r="M594" s="156">
        <f t="shared" si="183"/>
        <v>0</v>
      </c>
      <c r="N594" s="156">
        <f t="shared" si="183"/>
        <v>0</v>
      </c>
      <c r="O594" s="156">
        <f t="shared" si="183"/>
        <v>0</v>
      </c>
      <c r="P594" s="156">
        <f t="shared" si="183"/>
        <v>0</v>
      </c>
      <c r="Q594" s="156">
        <f t="shared" si="183"/>
        <v>0</v>
      </c>
      <c r="R594" s="156">
        <f t="shared" si="183"/>
        <v>0</v>
      </c>
      <c r="S594" s="156">
        <f t="shared" si="183"/>
        <v>0</v>
      </c>
      <c r="T594" s="156">
        <f t="shared" si="183"/>
        <v>0</v>
      </c>
      <c r="U594" s="156">
        <f t="shared" si="183"/>
        <v>-235461.01959255931</v>
      </c>
      <c r="V594" s="156">
        <f t="shared" si="183"/>
        <v>-240201.19443676138</v>
      </c>
      <c r="W594" s="156">
        <f t="shared" si="183"/>
        <v>-244941.36928096341</v>
      </c>
      <c r="X594" s="156">
        <f t="shared" si="183"/>
        <v>-249681.54412516544</v>
      </c>
      <c r="Y594" s="156">
        <f t="shared" si="183"/>
        <v>-254421.7189693675</v>
      </c>
      <c r="Z594" s="156">
        <f t="shared" si="183"/>
        <v>-259161.89381356954</v>
      </c>
      <c r="AA594" s="156">
        <f t="shared" si="183"/>
        <v>-263902.06865777157</v>
      </c>
      <c r="AB594" s="156">
        <f t="shared" si="183"/>
        <v>-268642.24350197363</v>
      </c>
      <c r="AC594" s="156">
        <f t="shared" si="183"/>
        <v>-273382.41834617563</v>
      </c>
      <c r="AD594" s="156">
        <f t="shared" si="183"/>
        <v>0</v>
      </c>
      <c r="AE594" s="156">
        <f t="shared" si="183"/>
        <v>0</v>
      </c>
      <c r="AF594" s="156">
        <f t="shared" si="183"/>
        <v>0</v>
      </c>
      <c r="AG594" s="156">
        <f t="shared" si="183"/>
        <v>0</v>
      </c>
      <c r="AH594" s="156">
        <f t="shared" si="183"/>
        <v>0</v>
      </c>
      <c r="AI594" s="156">
        <f t="shared" si="183"/>
        <v>0</v>
      </c>
      <c r="AJ594" s="156">
        <f t="shared" ref="AJ594:BO594" si="184">(Opening_year_sleep_disturbance_cost+(Difference_sleep_disturbance_cost)*(year-Opening_year)/(Forecast_and_opening_year_difference))*Interpolation_mask</f>
        <v>0</v>
      </c>
      <c r="AK594" s="156">
        <f t="shared" si="184"/>
        <v>0</v>
      </c>
      <c r="AL594" s="156">
        <f t="shared" si="184"/>
        <v>0</v>
      </c>
      <c r="AM594" s="156">
        <f t="shared" si="184"/>
        <v>0</v>
      </c>
      <c r="AN594" s="156">
        <f t="shared" si="184"/>
        <v>0</v>
      </c>
      <c r="AO594" s="156">
        <f t="shared" si="184"/>
        <v>0</v>
      </c>
      <c r="AP594" s="156">
        <f t="shared" si="184"/>
        <v>0</v>
      </c>
      <c r="AQ594" s="156">
        <f t="shared" si="184"/>
        <v>0</v>
      </c>
      <c r="AR594" s="156">
        <f t="shared" si="184"/>
        <v>0</v>
      </c>
      <c r="AS594" s="156">
        <f t="shared" si="184"/>
        <v>0</v>
      </c>
      <c r="AT594" s="156">
        <f t="shared" si="184"/>
        <v>0</v>
      </c>
      <c r="AU594" s="156">
        <f t="shared" si="184"/>
        <v>0</v>
      </c>
      <c r="AV594" s="156">
        <f t="shared" si="184"/>
        <v>0</v>
      </c>
      <c r="AW594" s="156">
        <f t="shared" si="184"/>
        <v>0</v>
      </c>
      <c r="AX594" s="156">
        <f t="shared" si="184"/>
        <v>0</v>
      </c>
      <c r="AY594" s="156">
        <f t="shared" si="184"/>
        <v>0</v>
      </c>
      <c r="AZ594" s="156">
        <f t="shared" si="184"/>
        <v>0</v>
      </c>
      <c r="BA594" s="156">
        <f t="shared" si="184"/>
        <v>0</v>
      </c>
      <c r="BB594" s="156">
        <f t="shared" si="184"/>
        <v>0</v>
      </c>
      <c r="BC594" s="156">
        <f t="shared" si="184"/>
        <v>0</v>
      </c>
      <c r="BD594" s="156">
        <f t="shared" si="184"/>
        <v>0</v>
      </c>
      <c r="BE594" s="156">
        <f t="shared" si="184"/>
        <v>0</v>
      </c>
      <c r="BF594" s="156">
        <f t="shared" si="184"/>
        <v>0</v>
      </c>
      <c r="BG594" s="156">
        <f t="shared" si="184"/>
        <v>0</v>
      </c>
      <c r="BH594" s="156">
        <f t="shared" si="184"/>
        <v>0</v>
      </c>
      <c r="BI594" s="156">
        <f t="shared" si="184"/>
        <v>0</v>
      </c>
      <c r="BJ594" s="156">
        <f t="shared" si="184"/>
        <v>0</v>
      </c>
      <c r="BK594" s="156">
        <f t="shared" si="184"/>
        <v>0</v>
      </c>
      <c r="BL594" s="156">
        <f t="shared" si="184"/>
        <v>0</v>
      </c>
      <c r="BM594" s="156">
        <f t="shared" si="184"/>
        <v>0</v>
      </c>
      <c r="BN594" s="156">
        <f t="shared" si="184"/>
        <v>0</v>
      </c>
      <c r="BO594" s="156">
        <f t="shared" si="184"/>
        <v>0</v>
      </c>
      <c r="BP594" s="156">
        <f t="shared" ref="BP594:CP594" si="185">(Opening_year_sleep_disturbance_cost+(Difference_sleep_disturbance_cost)*(year-Opening_year)/(Forecast_and_opening_year_difference))*Interpolation_mask</f>
        <v>0</v>
      </c>
      <c r="BQ594" s="156">
        <f t="shared" si="185"/>
        <v>0</v>
      </c>
      <c r="BR594" s="156">
        <f t="shared" si="185"/>
        <v>0</v>
      </c>
      <c r="BS594" s="156">
        <f t="shared" si="185"/>
        <v>0</v>
      </c>
      <c r="BT594" s="156">
        <f t="shared" si="185"/>
        <v>0</v>
      </c>
      <c r="BU594" s="156">
        <f t="shared" si="185"/>
        <v>0</v>
      </c>
      <c r="BV594" s="156">
        <f t="shared" si="185"/>
        <v>0</v>
      </c>
      <c r="BW594" s="156">
        <f t="shared" si="185"/>
        <v>0</v>
      </c>
      <c r="BX594" s="156">
        <f t="shared" si="185"/>
        <v>0</v>
      </c>
      <c r="BY594" s="156">
        <f t="shared" si="185"/>
        <v>0</v>
      </c>
      <c r="BZ594" s="156">
        <f t="shared" si="185"/>
        <v>0</v>
      </c>
      <c r="CA594" s="156">
        <f t="shared" si="185"/>
        <v>0</v>
      </c>
      <c r="CB594" s="156">
        <f t="shared" si="185"/>
        <v>0</v>
      </c>
      <c r="CC594" s="156">
        <f t="shared" si="185"/>
        <v>0</v>
      </c>
      <c r="CD594" s="156">
        <f t="shared" si="185"/>
        <v>0</v>
      </c>
      <c r="CE594" s="156">
        <f t="shared" si="185"/>
        <v>0</v>
      </c>
      <c r="CF594" s="156">
        <f t="shared" si="185"/>
        <v>0</v>
      </c>
      <c r="CG594" s="156">
        <f t="shared" si="185"/>
        <v>0</v>
      </c>
      <c r="CH594" s="156">
        <f t="shared" si="185"/>
        <v>0</v>
      </c>
      <c r="CI594" s="156">
        <f t="shared" si="185"/>
        <v>0</v>
      </c>
      <c r="CJ594" s="156">
        <f t="shared" si="185"/>
        <v>0</v>
      </c>
      <c r="CK594" s="156">
        <f t="shared" si="185"/>
        <v>0</v>
      </c>
      <c r="CL594" s="156">
        <f t="shared" si="185"/>
        <v>0</v>
      </c>
      <c r="CM594" s="156">
        <f t="shared" si="185"/>
        <v>0</v>
      </c>
      <c r="CN594" s="156">
        <f t="shared" si="185"/>
        <v>0</v>
      </c>
      <c r="CO594" s="156">
        <f t="shared" si="185"/>
        <v>0</v>
      </c>
      <c r="CP594" s="156">
        <f t="shared" si="185"/>
        <v>0</v>
      </c>
      <c r="CQ594" s="28" t="s">
        <v>434</v>
      </c>
    </row>
    <row r="595" spans="1:95" s="8" customFormat="1" ht="15" hidden="1" outlineLevel="2" x14ac:dyDescent="0.25">
      <c r="A595" s="89"/>
      <c r="B595" s="89" t="s">
        <v>416</v>
      </c>
      <c r="C595" s="89"/>
      <c r="D595" s="156">
        <f t="shared" ref="D595:AI595" si="186">Forecast_year_sleep_disturbance_cost*Extrapolation_mask</f>
        <v>0</v>
      </c>
      <c r="E595" s="156">
        <f t="shared" si="186"/>
        <v>0</v>
      </c>
      <c r="F595" s="156">
        <f t="shared" si="186"/>
        <v>0</v>
      </c>
      <c r="G595" s="156">
        <f t="shared" si="186"/>
        <v>0</v>
      </c>
      <c r="H595" s="156">
        <f t="shared" si="186"/>
        <v>0</v>
      </c>
      <c r="I595" s="156">
        <f t="shared" si="186"/>
        <v>0</v>
      </c>
      <c r="J595" s="156">
        <f t="shared" si="186"/>
        <v>0</v>
      </c>
      <c r="K595" s="156">
        <f t="shared" si="186"/>
        <v>0</v>
      </c>
      <c r="L595" s="156">
        <f t="shared" si="186"/>
        <v>0</v>
      </c>
      <c r="M595" s="156">
        <f t="shared" si="186"/>
        <v>0</v>
      </c>
      <c r="N595" s="156">
        <f t="shared" si="186"/>
        <v>0</v>
      </c>
      <c r="O595" s="156">
        <f t="shared" si="186"/>
        <v>0</v>
      </c>
      <c r="P595" s="156">
        <f t="shared" si="186"/>
        <v>0</v>
      </c>
      <c r="Q595" s="156">
        <f t="shared" si="186"/>
        <v>0</v>
      </c>
      <c r="R595" s="156">
        <f t="shared" si="186"/>
        <v>0</v>
      </c>
      <c r="S595" s="156">
        <f t="shared" si="186"/>
        <v>0</v>
      </c>
      <c r="T595" s="156">
        <f t="shared" si="186"/>
        <v>0</v>
      </c>
      <c r="U595" s="156">
        <f t="shared" si="186"/>
        <v>0</v>
      </c>
      <c r="V595" s="156">
        <f t="shared" si="186"/>
        <v>0</v>
      </c>
      <c r="W595" s="156">
        <f t="shared" si="186"/>
        <v>0</v>
      </c>
      <c r="X595" s="156">
        <f t="shared" si="186"/>
        <v>0</v>
      </c>
      <c r="Y595" s="156">
        <f t="shared" si="186"/>
        <v>0</v>
      </c>
      <c r="Z595" s="156">
        <f t="shared" si="186"/>
        <v>0</v>
      </c>
      <c r="AA595" s="156">
        <f t="shared" si="186"/>
        <v>0</v>
      </c>
      <c r="AB595" s="156">
        <f t="shared" si="186"/>
        <v>0</v>
      </c>
      <c r="AC595" s="156">
        <f t="shared" si="186"/>
        <v>0</v>
      </c>
      <c r="AD595" s="156">
        <f t="shared" si="186"/>
        <v>0</v>
      </c>
      <c r="AE595" s="156">
        <f t="shared" si="186"/>
        <v>-278122.59319037769</v>
      </c>
      <c r="AF595" s="156">
        <f t="shared" si="186"/>
        <v>-278122.59319037769</v>
      </c>
      <c r="AG595" s="156">
        <f t="shared" si="186"/>
        <v>-278122.59319037769</v>
      </c>
      <c r="AH595" s="156">
        <f t="shared" si="186"/>
        <v>-278122.59319037769</v>
      </c>
      <c r="AI595" s="156">
        <f t="shared" si="186"/>
        <v>-278122.59319037769</v>
      </c>
      <c r="AJ595" s="156">
        <f t="shared" ref="AJ595:BO595" si="187">Forecast_year_sleep_disturbance_cost*Extrapolation_mask</f>
        <v>-278122.59319037769</v>
      </c>
      <c r="AK595" s="156">
        <f t="shared" si="187"/>
        <v>-278122.59319037769</v>
      </c>
      <c r="AL595" s="156">
        <f t="shared" si="187"/>
        <v>-278122.59319037769</v>
      </c>
      <c r="AM595" s="156">
        <f t="shared" si="187"/>
        <v>-278122.59319037769</v>
      </c>
      <c r="AN595" s="156">
        <f t="shared" si="187"/>
        <v>-278122.59319037769</v>
      </c>
      <c r="AO595" s="156">
        <f t="shared" si="187"/>
        <v>-278122.59319037769</v>
      </c>
      <c r="AP595" s="156">
        <f t="shared" si="187"/>
        <v>-278122.59319037769</v>
      </c>
      <c r="AQ595" s="156">
        <f t="shared" si="187"/>
        <v>-278122.59319037769</v>
      </c>
      <c r="AR595" s="156">
        <f t="shared" si="187"/>
        <v>-278122.59319037769</v>
      </c>
      <c r="AS595" s="156">
        <f t="shared" si="187"/>
        <v>-278122.59319037769</v>
      </c>
      <c r="AT595" s="156">
        <f t="shared" si="187"/>
        <v>-278122.59319037769</v>
      </c>
      <c r="AU595" s="156">
        <f t="shared" si="187"/>
        <v>-278122.59319037769</v>
      </c>
      <c r="AV595" s="156">
        <f t="shared" si="187"/>
        <v>-278122.59319037769</v>
      </c>
      <c r="AW595" s="156">
        <f t="shared" si="187"/>
        <v>-278122.59319037769</v>
      </c>
      <c r="AX595" s="156">
        <f t="shared" si="187"/>
        <v>-278122.59319037769</v>
      </c>
      <c r="AY595" s="156">
        <f t="shared" si="187"/>
        <v>-278122.59319037769</v>
      </c>
      <c r="AZ595" s="156">
        <f t="shared" si="187"/>
        <v>-278122.59319037769</v>
      </c>
      <c r="BA595" s="156">
        <f t="shared" si="187"/>
        <v>-278122.59319037769</v>
      </c>
      <c r="BB595" s="156">
        <f t="shared" si="187"/>
        <v>-278122.59319037769</v>
      </c>
      <c r="BC595" s="156">
        <f t="shared" si="187"/>
        <v>-278122.59319037769</v>
      </c>
      <c r="BD595" s="156">
        <f t="shared" si="187"/>
        <v>-278122.59319037769</v>
      </c>
      <c r="BE595" s="156">
        <f t="shared" si="187"/>
        <v>-278122.59319037769</v>
      </c>
      <c r="BF595" s="156">
        <f t="shared" si="187"/>
        <v>-278122.59319037769</v>
      </c>
      <c r="BG595" s="156">
        <f t="shared" si="187"/>
        <v>-278122.59319037769</v>
      </c>
      <c r="BH595" s="156">
        <f t="shared" si="187"/>
        <v>-278122.59319037769</v>
      </c>
      <c r="BI595" s="156">
        <f t="shared" si="187"/>
        <v>-278122.59319037769</v>
      </c>
      <c r="BJ595" s="156">
        <f t="shared" si="187"/>
        <v>-278122.59319037769</v>
      </c>
      <c r="BK595" s="156">
        <f t="shared" si="187"/>
        <v>-278122.59319037769</v>
      </c>
      <c r="BL595" s="156">
        <f t="shared" si="187"/>
        <v>-278122.59319037769</v>
      </c>
      <c r="BM595" s="156">
        <f t="shared" si="187"/>
        <v>-278122.59319037769</v>
      </c>
      <c r="BN595" s="156">
        <f t="shared" si="187"/>
        <v>-278122.59319037769</v>
      </c>
      <c r="BO595" s="156">
        <f t="shared" si="187"/>
        <v>-278122.59319037769</v>
      </c>
      <c r="BP595" s="156">
        <f t="shared" ref="BP595:CP595" si="188">Forecast_year_sleep_disturbance_cost*Extrapolation_mask</f>
        <v>-278122.59319037769</v>
      </c>
      <c r="BQ595" s="156">
        <f t="shared" si="188"/>
        <v>-278122.59319037769</v>
      </c>
      <c r="BR595" s="156">
        <f t="shared" si="188"/>
        <v>-278122.59319037769</v>
      </c>
      <c r="BS595" s="156">
        <f t="shared" si="188"/>
        <v>-278122.59319037769</v>
      </c>
      <c r="BT595" s="156">
        <f t="shared" si="188"/>
        <v>-278122.59319037769</v>
      </c>
      <c r="BU595" s="156">
        <f t="shared" si="188"/>
        <v>-278122.59319037769</v>
      </c>
      <c r="BV595" s="156">
        <f t="shared" si="188"/>
        <v>-278122.59319037769</v>
      </c>
      <c r="BW595" s="156">
        <f t="shared" si="188"/>
        <v>-278122.59319037769</v>
      </c>
      <c r="BX595" s="156">
        <f t="shared" si="188"/>
        <v>-278122.59319037769</v>
      </c>
      <c r="BY595" s="156">
        <f t="shared" si="188"/>
        <v>-278122.59319037769</v>
      </c>
      <c r="BZ595" s="156">
        <f t="shared" si="188"/>
        <v>-278122.59319037769</v>
      </c>
      <c r="CA595" s="156">
        <f t="shared" si="188"/>
        <v>-278122.59319037769</v>
      </c>
      <c r="CB595" s="156">
        <f t="shared" si="188"/>
        <v>0</v>
      </c>
      <c r="CC595" s="156">
        <f t="shared" si="188"/>
        <v>0</v>
      </c>
      <c r="CD595" s="156">
        <f t="shared" si="188"/>
        <v>0</v>
      </c>
      <c r="CE595" s="156">
        <f t="shared" si="188"/>
        <v>0</v>
      </c>
      <c r="CF595" s="156">
        <f t="shared" si="188"/>
        <v>0</v>
      </c>
      <c r="CG595" s="156">
        <f t="shared" si="188"/>
        <v>0</v>
      </c>
      <c r="CH595" s="156">
        <f t="shared" si="188"/>
        <v>0</v>
      </c>
      <c r="CI595" s="156">
        <f t="shared" si="188"/>
        <v>0</v>
      </c>
      <c r="CJ595" s="156">
        <f t="shared" si="188"/>
        <v>0</v>
      </c>
      <c r="CK595" s="156">
        <f t="shared" si="188"/>
        <v>0</v>
      </c>
      <c r="CL595" s="156">
        <f t="shared" si="188"/>
        <v>0</v>
      </c>
      <c r="CM595" s="156">
        <f t="shared" si="188"/>
        <v>0</v>
      </c>
      <c r="CN595" s="156">
        <f t="shared" si="188"/>
        <v>0</v>
      </c>
      <c r="CO595" s="156">
        <f t="shared" si="188"/>
        <v>0</v>
      </c>
      <c r="CP595" s="156">
        <f t="shared" si="188"/>
        <v>0</v>
      </c>
      <c r="CQ595" s="28" t="s">
        <v>435</v>
      </c>
    </row>
    <row r="596" spans="1:95" s="8" customFormat="1" ht="15" hidden="1" outlineLevel="2" x14ac:dyDescent="0.25">
      <c r="A596" s="89"/>
      <c r="B596" s="89" t="s">
        <v>420</v>
      </c>
      <c r="C596" s="89"/>
      <c r="D596" s="156">
        <f>Opening_year_sleep_disturbance_cost_mask+Forecast_year_sleep_disturbance_cost_mask+Interpolation_sleep_disturbance_cost_mask+Extrapolation_sleep_disturbance_cost_mask</f>
        <v>0</v>
      </c>
      <c r="E596" s="156">
        <f t="shared" ref="E596:AJ596" si="189">Opening_year_sleep_disturbance_cost_mask+Forecast_year_sleep_disturbance_mask+Interpolation_sleep_disturbance_mask+Extrapolation_sleep_disturbance_mask</f>
        <v>0</v>
      </c>
      <c r="F596" s="156">
        <f t="shared" si="189"/>
        <v>0</v>
      </c>
      <c r="G596" s="156">
        <f t="shared" si="189"/>
        <v>0</v>
      </c>
      <c r="H596" s="156">
        <f t="shared" si="189"/>
        <v>0</v>
      </c>
      <c r="I596" s="156">
        <f t="shared" si="189"/>
        <v>0</v>
      </c>
      <c r="J596" s="156">
        <f t="shared" si="189"/>
        <v>0</v>
      </c>
      <c r="K596" s="156">
        <f t="shared" si="189"/>
        <v>0</v>
      </c>
      <c r="L596" s="156">
        <f t="shared" si="189"/>
        <v>0</v>
      </c>
      <c r="M596" s="156">
        <f t="shared" si="189"/>
        <v>0</v>
      </c>
      <c r="N596" s="156">
        <f t="shared" si="189"/>
        <v>0</v>
      </c>
      <c r="O596" s="156">
        <f t="shared" si="189"/>
        <v>0</v>
      </c>
      <c r="P596" s="156">
        <f t="shared" si="189"/>
        <v>0</v>
      </c>
      <c r="Q596" s="156">
        <f t="shared" si="189"/>
        <v>0</v>
      </c>
      <c r="R596" s="156">
        <f t="shared" si="189"/>
        <v>0</v>
      </c>
      <c r="S596" s="156">
        <f t="shared" si="189"/>
        <v>0</v>
      </c>
      <c r="T596" s="156">
        <f t="shared" si="189"/>
        <v>-230720.84474835728</v>
      </c>
      <c r="U596" s="156">
        <f t="shared" si="189"/>
        <v>-235461.01959255931</v>
      </c>
      <c r="V596" s="156">
        <f t="shared" si="189"/>
        <v>-240201.19443676138</v>
      </c>
      <c r="W596" s="156">
        <f t="shared" si="189"/>
        <v>-244941.36928096341</v>
      </c>
      <c r="X596" s="156">
        <f t="shared" si="189"/>
        <v>-249681.54412516544</v>
      </c>
      <c r="Y596" s="156">
        <f t="shared" si="189"/>
        <v>-254421.7189693675</v>
      </c>
      <c r="Z596" s="156">
        <f t="shared" si="189"/>
        <v>-259161.89381356954</v>
      </c>
      <c r="AA596" s="156">
        <f t="shared" si="189"/>
        <v>-263902.06865777157</v>
      </c>
      <c r="AB596" s="156">
        <f t="shared" si="189"/>
        <v>-268642.24350197363</v>
      </c>
      <c r="AC596" s="156">
        <f t="shared" si="189"/>
        <v>-273382.41834617563</v>
      </c>
      <c r="AD596" s="156">
        <f t="shared" si="189"/>
        <v>-278122.59319037769</v>
      </c>
      <c r="AE596" s="156">
        <f t="shared" si="189"/>
        <v>-278122.59319037769</v>
      </c>
      <c r="AF596" s="156">
        <f t="shared" si="189"/>
        <v>-278122.59319037769</v>
      </c>
      <c r="AG596" s="156">
        <f t="shared" si="189"/>
        <v>-278122.59319037769</v>
      </c>
      <c r="AH596" s="156">
        <f t="shared" si="189"/>
        <v>-278122.59319037769</v>
      </c>
      <c r="AI596" s="156">
        <f t="shared" si="189"/>
        <v>-278122.59319037769</v>
      </c>
      <c r="AJ596" s="156">
        <f t="shared" si="189"/>
        <v>-278122.59319037769</v>
      </c>
      <c r="AK596" s="156">
        <f t="shared" ref="AK596:BP596" si="190">Opening_year_sleep_disturbance_cost_mask+Forecast_year_sleep_disturbance_mask+Interpolation_sleep_disturbance_mask+Extrapolation_sleep_disturbance_mask</f>
        <v>-278122.59319037769</v>
      </c>
      <c r="AL596" s="156">
        <f t="shared" si="190"/>
        <v>-278122.59319037769</v>
      </c>
      <c r="AM596" s="156">
        <f t="shared" si="190"/>
        <v>-278122.59319037769</v>
      </c>
      <c r="AN596" s="156">
        <f t="shared" si="190"/>
        <v>-278122.59319037769</v>
      </c>
      <c r="AO596" s="156">
        <f t="shared" si="190"/>
        <v>-278122.59319037769</v>
      </c>
      <c r="AP596" s="156">
        <f t="shared" si="190"/>
        <v>-278122.59319037769</v>
      </c>
      <c r="AQ596" s="156">
        <f t="shared" si="190"/>
        <v>-278122.59319037769</v>
      </c>
      <c r="AR596" s="156">
        <f t="shared" si="190"/>
        <v>-278122.59319037769</v>
      </c>
      <c r="AS596" s="156">
        <f t="shared" si="190"/>
        <v>-278122.59319037769</v>
      </c>
      <c r="AT596" s="156">
        <f t="shared" si="190"/>
        <v>-278122.59319037769</v>
      </c>
      <c r="AU596" s="156">
        <f t="shared" si="190"/>
        <v>-278122.59319037769</v>
      </c>
      <c r="AV596" s="156">
        <f t="shared" si="190"/>
        <v>-278122.59319037769</v>
      </c>
      <c r="AW596" s="156">
        <f t="shared" si="190"/>
        <v>-278122.59319037769</v>
      </c>
      <c r="AX596" s="156">
        <f t="shared" si="190"/>
        <v>-278122.59319037769</v>
      </c>
      <c r="AY596" s="156">
        <f t="shared" si="190"/>
        <v>-278122.59319037769</v>
      </c>
      <c r="AZ596" s="156">
        <f t="shared" si="190"/>
        <v>-278122.59319037769</v>
      </c>
      <c r="BA596" s="156">
        <f t="shared" si="190"/>
        <v>-278122.59319037769</v>
      </c>
      <c r="BB596" s="156">
        <f t="shared" si="190"/>
        <v>-278122.59319037769</v>
      </c>
      <c r="BC596" s="156">
        <f t="shared" si="190"/>
        <v>-278122.59319037769</v>
      </c>
      <c r="BD596" s="156">
        <f t="shared" si="190"/>
        <v>-278122.59319037769</v>
      </c>
      <c r="BE596" s="156">
        <f t="shared" si="190"/>
        <v>-278122.59319037769</v>
      </c>
      <c r="BF596" s="156">
        <f t="shared" si="190"/>
        <v>-278122.59319037769</v>
      </c>
      <c r="BG596" s="156">
        <f t="shared" si="190"/>
        <v>-278122.59319037769</v>
      </c>
      <c r="BH596" s="156">
        <f t="shared" si="190"/>
        <v>-278122.59319037769</v>
      </c>
      <c r="BI596" s="156">
        <f t="shared" si="190"/>
        <v>-278122.59319037769</v>
      </c>
      <c r="BJ596" s="156">
        <f t="shared" si="190"/>
        <v>-278122.59319037769</v>
      </c>
      <c r="BK596" s="156">
        <f t="shared" si="190"/>
        <v>-278122.59319037769</v>
      </c>
      <c r="BL596" s="156">
        <f t="shared" si="190"/>
        <v>-278122.59319037769</v>
      </c>
      <c r="BM596" s="156">
        <f t="shared" si="190"/>
        <v>-278122.59319037769</v>
      </c>
      <c r="BN596" s="156">
        <f t="shared" si="190"/>
        <v>-278122.59319037769</v>
      </c>
      <c r="BO596" s="156">
        <f t="shared" si="190"/>
        <v>-278122.59319037769</v>
      </c>
      <c r="BP596" s="156">
        <f t="shared" si="190"/>
        <v>-278122.59319037769</v>
      </c>
      <c r="BQ596" s="156">
        <f t="shared" ref="BQ596:CP596" si="191">Opening_year_sleep_disturbance_cost_mask+Forecast_year_sleep_disturbance_mask+Interpolation_sleep_disturbance_mask+Extrapolation_sleep_disturbance_mask</f>
        <v>-278122.59319037769</v>
      </c>
      <c r="BR596" s="156">
        <f t="shared" si="191"/>
        <v>-278122.59319037769</v>
      </c>
      <c r="BS596" s="156">
        <f t="shared" si="191"/>
        <v>-278122.59319037769</v>
      </c>
      <c r="BT596" s="156">
        <f t="shared" si="191"/>
        <v>-278122.59319037769</v>
      </c>
      <c r="BU596" s="156">
        <f t="shared" si="191"/>
        <v>-278122.59319037769</v>
      </c>
      <c r="BV596" s="156">
        <f t="shared" si="191"/>
        <v>-278122.59319037769</v>
      </c>
      <c r="BW596" s="156">
        <f t="shared" si="191"/>
        <v>-278122.59319037769</v>
      </c>
      <c r="BX596" s="156">
        <f t="shared" si="191"/>
        <v>-278122.59319037769</v>
      </c>
      <c r="BY596" s="156">
        <f t="shared" si="191"/>
        <v>-278122.59319037769</v>
      </c>
      <c r="BZ596" s="156">
        <f t="shared" si="191"/>
        <v>-278122.59319037769</v>
      </c>
      <c r="CA596" s="156">
        <f t="shared" si="191"/>
        <v>-278122.59319037769</v>
      </c>
      <c r="CB596" s="156">
        <f t="shared" si="191"/>
        <v>0</v>
      </c>
      <c r="CC596" s="156">
        <f t="shared" si="191"/>
        <v>0</v>
      </c>
      <c r="CD596" s="156">
        <f t="shared" si="191"/>
        <v>0</v>
      </c>
      <c r="CE596" s="156">
        <f t="shared" si="191"/>
        <v>0</v>
      </c>
      <c r="CF596" s="156">
        <f t="shared" si="191"/>
        <v>0</v>
      </c>
      <c r="CG596" s="156">
        <f t="shared" si="191"/>
        <v>0</v>
      </c>
      <c r="CH596" s="156">
        <f t="shared" si="191"/>
        <v>0</v>
      </c>
      <c r="CI596" s="156">
        <f t="shared" si="191"/>
        <v>0</v>
      </c>
      <c r="CJ596" s="156">
        <f t="shared" si="191"/>
        <v>0</v>
      </c>
      <c r="CK596" s="156">
        <f t="shared" si="191"/>
        <v>0</v>
      </c>
      <c r="CL596" s="156">
        <f t="shared" si="191"/>
        <v>0</v>
      </c>
      <c r="CM596" s="156">
        <f t="shared" si="191"/>
        <v>0</v>
      </c>
      <c r="CN596" s="156">
        <f t="shared" si="191"/>
        <v>0</v>
      </c>
      <c r="CO596" s="156">
        <f t="shared" si="191"/>
        <v>0</v>
      </c>
      <c r="CP596" s="156">
        <f t="shared" si="191"/>
        <v>0</v>
      </c>
      <c r="CQ596" s="28" t="s">
        <v>432</v>
      </c>
    </row>
    <row r="597" spans="1:95" s="8" customFormat="1" ht="15" hidden="1" outlineLevel="2" x14ac:dyDescent="0.25">
      <c r="A597" s="89"/>
      <c r="B597" s="89"/>
      <c r="C597" s="89"/>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A597" s="157"/>
      <c r="BB597" s="157"/>
      <c r="BC597" s="157"/>
      <c r="BD597" s="157"/>
      <c r="BE597" s="157"/>
      <c r="BF597" s="157"/>
      <c r="BG597" s="157"/>
      <c r="BH597" s="157"/>
      <c r="BI597" s="157"/>
      <c r="BJ597" s="157"/>
      <c r="BK597" s="157"/>
      <c r="BL597" s="157"/>
      <c r="BM597" s="157"/>
      <c r="BN597" s="157"/>
      <c r="BO597" s="157"/>
      <c r="BP597" s="157"/>
      <c r="BQ597" s="157"/>
      <c r="BR597" s="157"/>
      <c r="BS597" s="157"/>
      <c r="BT597" s="157"/>
      <c r="BU597" s="157"/>
      <c r="BV597" s="157"/>
      <c r="BW597" s="157"/>
      <c r="BX597" s="157"/>
      <c r="BY597" s="157"/>
      <c r="BZ597" s="157"/>
      <c r="CA597" s="157"/>
      <c r="CB597" s="157"/>
      <c r="CC597" s="157"/>
      <c r="CD597" s="157"/>
      <c r="CE597" s="157"/>
      <c r="CF597" s="157"/>
      <c r="CG597" s="157"/>
      <c r="CH597" s="157"/>
      <c r="CI597" s="157"/>
      <c r="CJ597" s="157"/>
      <c r="CK597" s="157"/>
      <c r="CL597" s="157"/>
      <c r="CM597" s="157"/>
      <c r="CN597" s="157"/>
      <c r="CO597" s="157"/>
      <c r="CP597" s="157"/>
      <c r="CQ597" s="28"/>
    </row>
    <row r="598" spans="1:95" s="5" customFormat="1" ht="18.75" hidden="1" customHeight="1" outlineLevel="2" x14ac:dyDescent="0.25">
      <c r="B598" s="5" t="s">
        <v>436</v>
      </c>
    </row>
    <row r="599" spans="1:95" s="4" customFormat="1" ht="18.75" hidden="1" customHeight="1" outlineLevel="2" x14ac:dyDescent="0.3">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c r="AN599" s="93"/>
      <c r="AO599" s="93"/>
      <c r="AP599" s="93"/>
      <c r="AQ599" s="93"/>
      <c r="AR599" s="93"/>
      <c r="AS599" s="93"/>
      <c r="AT599" s="93"/>
      <c r="AU599" s="93"/>
      <c r="AV599" s="93"/>
      <c r="AW599" s="93"/>
      <c r="AX599" s="93"/>
      <c r="AY599" s="93"/>
      <c r="AZ599" s="93"/>
      <c r="BA599" s="93"/>
      <c r="BB599" s="93"/>
      <c r="BC599" s="93"/>
      <c r="BD599" s="93"/>
      <c r="BE599" s="93"/>
      <c r="BF599" s="93"/>
      <c r="BG599" s="93"/>
      <c r="BH599" s="93"/>
      <c r="BI599" s="93"/>
      <c r="BJ599" s="93"/>
      <c r="BK599" s="93"/>
      <c r="BL599" s="93"/>
      <c r="BM599" s="93"/>
      <c r="BN599" s="93"/>
      <c r="BO599" s="93"/>
      <c r="BP599" s="93"/>
      <c r="BQ599" s="93"/>
      <c r="BR599" s="93"/>
      <c r="BS599" s="93"/>
      <c r="BT599" s="93"/>
      <c r="BU599" s="93"/>
      <c r="BV599" s="93"/>
      <c r="BW599" s="93"/>
      <c r="BX599" s="93"/>
      <c r="BY599" s="93"/>
      <c r="BZ599" s="93"/>
      <c r="CA599" s="93"/>
      <c r="CB599" s="93"/>
      <c r="CC599" s="93"/>
      <c r="CD599" s="93"/>
      <c r="CE599" s="93"/>
      <c r="CF599" s="93"/>
      <c r="CG599" s="93"/>
      <c r="CH599" s="93"/>
      <c r="CI599" s="93"/>
      <c r="CJ599" s="93"/>
      <c r="CK599" s="93"/>
      <c r="CL599" s="93"/>
      <c r="CM599" s="93"/>
      <c r="CN599" s="93"/>
      <c r="CO599" s="93"/>
      <c r="CP599" s="93"/>
      <c r="CQ599" s="93"/>
    </row>
    <row r="600" spans="1:95" s="8" customFormat="1" ht="14.25" hidden="1" customHeight="1" outlineLevel="2" x14ac:dyDescent="0.25">
      <c r="A600" s="89"/>
      <c r="B600" s="133"/>
      <c r="C600" s="133"/>
      <c r="D600" s="16">
        <v>2010</v>
      </c>
      <c r="E600" s="16">
        <v>2011</v>
      </c>
      <c r="F600" s="16">
        <v>2012</v>
      </c>
      <c r="G600" s="16">
        <v>2013</v>
      </c>
      <c r="H600" s="16">
        <v>2014</v>
      </c>
      <c r="I600" s="16">
        <v>2015</v>
      </c>
      <c r="J600" s="16">
        <v>2016</v>
      </c>
      <c r="K600" s="16">
        <v>2017</v>
      </c>
      <c r="L600" s="16">
        <v>2018</v>
      </c>
      <c r="M600" s="16">
        <v>2019</v>
      </c>
      <c r="N600" s="16">
        <v>2020</v>
      </c>
      <c r="O600" s="16">
        <v>2021</v>
      </c>
      <c r="P600" s="16">
        <v>2022</v>
      </c>
      <c r="Q600" s="16">
        <v>2023</v>
      </c>
      <c r="R600" s="16">
        <v>2024</v>
      </c>
      <c r="S600" s="16">
        <v>2025</v>
      </c>
      <c r="T600" s="16">
        <v>2026</v>
      </c>
      <c r="U600" s="16">
        <v>2027</v>
      </c>
      <c r="V600" s="16">
        <v>2028</v>
      </c>
      <c r="W600" s="16">
        <v>2029</v>
      </c>
      <c r="X600" s="16">
        <v>2030</v>
      </c>
      <c r="Y600" s="16">
        <v>2031</v>
      </c>
      <c r="Z600" s="16">
        <v>2032</v>
      </c>
      <c r="AA600" s="16">
        <v>2033</v>
      </c>
      <c r="AB600" s="16">
        <v>2034</v>
      </c>
      <c r="AC600" s="16">
        <v>2035</v>
      </c>
      <c r="AD600" s="16">
        <v>2036</v>
      </c>
      <c r="AE600" s="16">
        <v>2037</v>
      </c>
      <c r="AF600" s="16">
        <v>2038</v>
      </c>
      <c r="AG600" s="16">
        <v>2039</v>
      </c>
      <c r="AH600" s="16">
        <v>2040</v>
      </c>
      <c r="AI600" s="16">
        <v>2041</v>
      </c>
      <c r="AJ600" s="16">
        <v>2042</v>
      </c>
      <c r="AK600" s="16">
        <v>2043</v>
      </c>
      <c r="AL600" s="16">
        <v>2044</v>
      </c>
      <c r="AM600" s="16">
        <v>2045</v>
      </c>
      <c r="AN600" s="16">
        <v>2046</v>
      </c>
      <c r="AO600" s="16">
        <v>2047</v>
      </c>
      <c r="AP600" s="16">
        <v>2048</v>
      </c>
      <c r="AQ600" s="16">
        <v>2049</v>
      </c>
      <c r="AR600" s="16">
        <v>2050</v>
      </c>
      <c r="AS600" s="16">
        <v>2051</v>
      </c>
      <c r="AT600" s="16">
        <v>2052</v>
      </c>
      <c r="AU600" s="16">
        <v>2053</v>
      </c>
      <c r="AV600" s="16">
        <v>2054</v>
      </c>
      <c r="AW600" s="16">
        <v>2055</v>
      </c>
      <c r="AX600" s="16">
        <v>2056</v>
      </c>
      <c r="AY600" s="16">
        <v>2057</v>
      </c>
      <c r="AZ600" s="16">
        <v>2058</v>
      </c>
      <c r="BA600" s="16">
        <v>2059</v>
      </c>
      <c r="BB600" s="16">
        <v>2060</v>
      </c>
      <c r="BC600" s="16">
        <v>2061</v>
      </c>
      <c r="BD600" s="16">
        <v>2062</v>
      </c>
      <c r="BE600" s="16">
        <v>2063</v>
      </c>
      <c r="BF600" s="16">
        <v>2064</v>
      </c>
      <c r="BG600" s="16">
        <v>2065</v>
      </c>
      <c r="BH600" s="16">
        <v>2066</v>
      </c>
      <c r="BI600" s="16">
        <v>2067</v>
      </c>
      <c r="BJ600" s="16">
        <v>2068</v>
      </c>
      <c r="BK600" s="16">
        <v>2069</v>
      </c>
      <c r="BL600" s="16">
        <v>2070</v>
      </c>
      <c r="BM600" s="16">
        <v>2071</v>
      </c>
      <c r="BN600" s="16">
        <v>2072</v>
      </c>
      <c r="BO600" s="16">
        <v>2073</v>
      </c>
      <c r="BP600" s="16">
        <v>2074</v>
      </c>
      <c r="BQ600" s="16">
        <v>2075</v>
      </c>
      <c r="BR600" s="16">
        <v>2076</v>
      </c>
      <c r="BS600" s="16">
        <v>2077</v>
      </c>
      <c r="BT600" s="16">
        <v>2078</v>
      </c>
      <c r="BU600" s="16">
        <v>2079</v>
      </c>
      <c r="BV600" s="16">
        <v>2080</v>
      </c>
      <c r="BW600" s="16">
        <v>2081</v>
      </c>
      <c r="BX600" s="16">
        <v>2082</v>
      </c>
      <c r="BY600" s="16">
        <v>2083</v>
      </c>
      <c r="BZ600" s="16">
        <v>2084</v>
      </c>
      <c r="CA600" s="16">
        <v>2085</v>
      </c>
      <c r="CB600" s="16">
        <v>2086</v>
      </c>
      <c r="CC600" s="16">
        <v>2087</v>
      </c>
      <c r="CD600" s="16">
        <v>2088</v>
      </c>
      <c r="CE600" s="16">
        <v>2089</v>
      </c>
      <c r="CF600" s="16">
        <v>2090</v>
      </c>
      <c r="CG600" s="16">
        <v>2091</v>
      </c>
      <c r="CH600" s="16">
        <v>2092</v>
      </c>
      <c r="CI600" s="16">
        <v>2093</v>
      </c>
      <c r="CJ600" s="16">
        <v>2094</v>
      </c>
      <c r="CK600" s="16">
        <v>2095</v>
      </c>
      <c r="CL600" s="16">
        <v>2096</v>
      </c>
      <c r="CM600" s="16">
        <v>2097</v>
      </c>
      <c r="CN600" s="16">
        <v>2098</v>
      </c>
      <c r="CO600" s="16">
        <v>2099</v>
      </c>
      <c r="CP600" s="16">
        <v>2100</v>
      </c>
      <c r="CQ600" s="89"/>
    </row>
    <row r="601" spans="1:95" s="8" customFormat="1" ht="15" hidden="1" outlineLevel="2" x14ac:dyDescent="0.25">
      <c r="A601" s="89"/>
      <c r="B601" s="89" t="s">
        <v>3</v>
      </c>
      <c r="C601" s="89"/>
      <c r="D601" s="156">
        <f t="shared" ref="D601:AI601" si="192">Opening_year_amenity_cost*Opening_year_mask</f>
        <v>0</v>
      </c>
      <c r="E601" s="156">
        <f t="shared" si="192"/>
        <v>0</v>
      </c>
      <c r="F601" s="156">
        <f t="shared" si="192"/>
        <v>0</v>
      </c>
      <c r="G601" s="156">
        <f t="shared" si="192"/>
        <v>0</v>
      </c>
      <c r="H601" s="156">
        <f t="shared" si="192"/>
        <v>0</v>
      </c>
      <c r="I601" s="156">
        <f t="shared" si="192"/>
        <v>0</v>
      </c>
      <c r="J601" s="156">
        <f t="shared" si="192"/>
        <v>0</v>
      </c>
      <c r="K601" s="156">
        <f t="shared" si="192"/>
        <v>0</v>
      </c>
      <c r="L601" s="156">
        <f t="shared" si="192"/>
        <v>0</v>
      </c>
      <c r="M601" s="156">
        <f t="shared" si="192"/>
        <v>0</v>
      </c>
      <c r="N601" s="156">
        <f t="shared" si="192"/>
        <v>0</v>
      </c>
      <c r="O601" s="156">
        <f t="shared" si="192"/>
        <v>0</v>
      </c>
      <c r="P601" s="156">
        <f t="shared" si="192"/>
        <v>0</v>
      </c>
      <c r="Q601" s="156">
        <f t="shared" si="192"/>
        <v>0</v>
      </c>
      <c r="R601" s="156">
        <f t="shared" si="192"/>
        <v>0</v>
      </c>
      <c r="S601" s="156">
        <f t="shared" si="192"/>
        <v>0</v>
      </c>
      <c r="T601" s="156">
        <f t="shared" si="192"/>
        <v>-240044.82673760224</v>
      </c>
      <c r="U601" s="156">
        <f t="shared" si="192"/>
        <v>0</v>
      </c>
      <c r="V601" s="156">
        <f t="shared" si="192"/>
        <v>0</v>
      </c>
      <c r="W601" s="156">
        <f t="shared" si="192"/>
        <v>0</v>
      </c>
      <c r="X601" s="156">
        <f t="shared" si="192"/>
        <v>0</v>
      </c>
      <c r="Y601" s="156">
        <f t="shared" si="192"/>
        <v>0</v>
      </c>
      <c r="Z601" s="156">
        <f t="shared" si="192"/>
        <v>0</v>
      </c>
      <c r="AA601" s="156">
        <f t="shared" si="192"/>
        <v>0</v>
      </c>
      <c r="AB601" s="156">
        <f t="shared" si="192"/>
        <v>0</v>
      </c>
      <c r="AC601" s="156">
        <f t="shared" si="192"/>
        <v>0</v>
      </c>
      <c r="AD601" s="156">
        <f t="shared" si="192"/>
        <v>0</v>
      </c>
      <c r="AE601" s="156">
        <f t="shared" si="192"/>
        <v>0</v>
      </c>
      <c r="AF601" s="156">
        <f t="shared" si="192"/>
        <v>0</v>
      </c>
      <c r="AG601" s="156">
        <f t="shared" si="192"/>
        <v>0</v>
      </c>
      <c r="AH601" s="156">
        <f t="shared" si="192"/>
        <v>0</v>
      </c>
      <c r="AI601" s="156">
        <f t="shared" si="192"/>
        <v>0</v>
      </c>
      <c r="AJ601" s="156">
        <f t="shared" ref="AJ601:BO601" si="193">Opening_year_amenity_cost*Opening_year_mask</f>
        <v>0</v>
      </c>
      <c r="AK601" s="156">
        <f t="shared" si="193"/>
        <v>0</v>
      </c>
      <c r="AL601" s="156">
        <f t="shared" si="193"/>
        <v>0</v>
      </c>
      <c r="AM601" s="156">
        <f t="shared" si="193"/>
        <v>0</v>
      </c>
      <c r="AN601" s="156">
        <f t="shared" si="193"/>
        <v>0</v>
      </c>
      <c r="AO601" s="156">
        <f t="shared" si="193"/>
        <v>0</v>
      </c>
      <c r="AP601" s="156">
        <f t="shared" si="193"/>
        <v>0</v>
      </c>
      <c r="AQ601" s="156">
        <f t="shared" si="193"/>
        <v>0</v>
      </c>
      <c r="AR601" s="156">
        <f t="shared" si="193"/>
        <v>0</v>
      </c>
      <c r="AS601" s="156">
        <f t="shared" si="193"/>
        <v>0</v>
      </c>
      <c r="AT601" s="156">
        <f t="shared" si="193"/>
        <v>0</v>
      </c>
      <c r="AU601" s="156">
        <f t="shared" si="193"/>
        <v>0</v>
      </c>
      <c r="AV601" s="156">
        <f t="shared" si="193"/>
        <v>0</v>
      </c>
      <c r="AW601" s="156">
        <f t="shared" si="193"/>
        <v>0</v>
      </c>
      <c r="AX601" s="156">
        <f t="shared" si="193"/>
        <v>0</v>
      </c>
      <c r="AY601" s="156">
        <f t="shared" si="193"/>
        <v>0</v>
      </c>
      <c r="AZ601" s="156">
        <f t="shared" si="193"/>
        <v>0</v>
      </c>
      <c r="BA601" s="156">
        <f t="shared" si="193"/>
        <v>0</v>
      </c>
      <c r="BB601" s="156">
        <f t="shared" si="193"/>
        <v>0</v>
      </c>
      <c r="BC601" s="156">
        <f t="shared" si="193"/>
        <v>0</v>
      </c>
      <c r="BD601" s="156">
        <f t="shared" si="193"/>
        <v>0</v>
      </c>
      <c r="BE601" s="156">
        <f t="shared" si="193"/>
        <v>0</v>
      </c>
      <c r="BF601" s="156">
        <f t="shared" si="193"/>
        <v>0</v>
      </c>
      <c r="BG601" s="156">
        <f t="shared" si="193"/>
        <v>0</v>
      </c>
      <c r="BH601" s="156">
        <f t="shared" si="193"/>
        <v>0</v>
      </c>
      <c r="BI601" s="156">
        <f t="shared" si="193"/>
        <v>0</v>
      </c>
      <c r="BJ601" s="156">
        <f t="shared" si="193"/>
        <v>0</v>
      </c>
      <c r="BK601" s="156">
        <f t="shared" si="193"/>
        <v>0</v>
      </c>
      <c r="BL601" s="156">
        <f t="shared" si="193"/>
        <v>0</v>
      </c>
      <c r="BM601" s="156">
        <f t="shared" si="193"/>
        <v>0</v>
      </c>
      <c r="BN601" s="156">
        <f t="shared" si="193"/>
        <v>0</v>
      </c>
      <c r="BO601" s="156">
        <f t="shared" si="193"/>
        <v>0</v>
      </c>
      <c r="BP601" s="156">
        <f t="shared" ref="BP601:CP601" si="194">Opening_year_amenity_cost*Opening_year_mask</f>
        <v>0</v>
      </c>
      <c r="BQ601" s="156">
        <f t="shared" si="194"/>
        <v>0</v>
      </c>
      <c r="BR601" s="156">
        <f t="shared" si="194"/>
        <v>0</v>
      </c>
      <c r="BS601" s="156">
        <f t="shared" si="194"/>
        <v>0</v>
      </c>
      <c r="BT601" s="156">
        <f t="shared" si="194"/>
        <v>0</v>
      </c>
      <c r="BU601" s="156">
        <f t="shared" si="194"/>
        <v>0</v>
      </c>
      <c r="BV601" s="156">
        <f t="shared" si="194"/>
        <v>0</v>
      </c>
      <c r="BW601" s="156">
        <f t="shared" si="194"/>
        <v>0</v>
      </c>
      <c r="BX601" s="156">
        <f t="shared" si="194"/>
        <v>0</v>
      </c>
      <c r="BY601" s="156">
        <f t="shared" si="194"/>
        <v>0</v>
      </c>
      <c r="BZ601" s="156">
        <f t="shared" si="194"/>
        <v>0</v>
      </c>
      <c r="CA601" s="156">
        <f t="shared" si="194"/>
        <v>0</v>
      </c>
      <c r="CB601" s="156">
        <f t="shared" si="194"/>
        <v>0</v>
      </c>
      <c r="CC601" s="156">
        <f t="shared" si="194"/>
        <v>0</v>
      </c>
      <c r="CD601" s="156">
        <f t="shared" si="194"/>
        <v>0</v>
      </c>
      <c r="CE601" s="156">
        <f t="shared" si="194"/>
        <v>0</v>
      </c>
      <c r="CF601" s="156">
        <f t="shared" si="194"/>
        <v>0</v>
      </c>
      <c r="CG601" s="156">
        <f t="shared" si="194"/>
        <v>0</v>
      </c>
      <c r="CH601" s="156">
        <f t="shared" si="194"/>
        <v>0</v>
      </c>
      <c r="CI601" s="156">
        <f t="shared" si="194"/>
        <v>0</v>
      </c>
      <c r="CJ601" s="156">
        <f t="shared" si="194"/>
        <v>0</v>
      </c>
      <c r="CK601" s="156">
        <f t="shared" si="194"/>
        <v>0</v>
      </c>
      <c r="CL601" s="156">
        <f t="shared" si="194"/>
        <v>0</v>
      </c>
      <c r="CM601" s="156">
        <f t="shared" si="194"/>
        <v>0</v>
      </c>
      <c r="CN601" s="156">
        <f t="shared" si="194"/>
        <v>0</v>
      </c>
      <c r="CO601" s="156">
        <f t="shared" si="194"/>
        <v>0</v>
      </c>
      <c r="CP601" s="156">
        <f t="shared" si="194"/>
        <v>0</v>
      </c>
      <c r="CQ601" s="28" t="s">
        <v>437</v>
      </c>
    </row>
    <row r="602" spans="1:95" s="8" customFormat="1" ht="15" hidden="1" outlineLevel="2" x14ac:dyDescent="0.25">
      <c r="A602" s="89"/>
      <c r="B602" s="89" t="s">
        <v>5</v>
      </c>
      <c r="C602" s="89"/>
      <c r="D602" s="156">
        <f t="shared" ref="D602:AI602" si="195">Forecast_year_amenity_cost*Forecast_year_mask</f>
        <v>0</v>
      </c>
      <c r="E602" s="156">
        <f t="shared" si="195"/>
        <v>0</v>
      </c>
      <c r="F602" s="156">
        <f t="shared" si="195"/>
        <v>0</v>
      </c>
      <c r="G602" s="156">
        <f t="shared" si="195"/>
        <v>0</v>
      </c>
      <c r="H602" s="156">
        <f t="shared" si="195"/>
        <v>0</v>
      </c>
      <c r="I602" s="156">
        <f t="shared" si="195"/>
        <v>0</v>
      </c>
      <c r="J602" s="156">
        <f t="shared" si="195"/>
        <v>0</v>
      </c>
      <c r="K602" s="156">
        <f t="shared" si="195"/>
        <v>0</v>
      </c>
      <c r="L602" s="156">
        <f t="shared" si="195"/>
        <v>0</v>
      </c>
      <c r="M602" s="156">
        <f t="shared" si="195"/>
        <v>0</v>
      </c>
      <c r="N602" s="156">
        <f t="shared" si="195"/>
        <v>0</v>
      </c>
      <c r="O602" s="156">
        <f t="shared" si="195"/>
        <v>0</v>
      </c>
      <c r="P602" s="156">
        <f t="shared" si="195"/>
        <v>0</v>
      </c>
      <c r="Q602" s="156">
        <f t="shared" si="195"/>
        <v>0</v>
      </c>
      <c r="R602" s="156">
        <f t="shared" si="195"/>
        <v>0</v>
      </c>
      <c r="S602" s="156">
        <f t="shared" si="195"/>
        <v>0</v>
      </c>
      <c r="T602" s="156">
        <f t="shared" si="195"/>
        <v>0</v>
      </c>
      <c r="U602" s="156">
        <f t="shared" si="195"/>
        <v>0</v>
      </c>
      <c r="V602" s="156">
        <f t="shared" si="195"/>
        <v>0</v>
      </c>
      <c r="W602" s="156">
        <f t="shared" si="195"/>
        <v>0</v>
      </c>
      <c r="X602" s="156">
        <f t="shared" si="195"/>
        <v>0</v>
      </c>
      <c r="Y602" s="156">
        <f t="shared" si="195"/>
        <v>0</v>
      </c>
      <c r="Z602" s="156">
        <f t="shared" si="195"/>
        <v>0</v>
      </c>
      <c r="AA602" s="156">
        <f t="shared" si="195"/>
        <v>0</v>
      </c>
      <c r="AB602" s="156">
        <f t="shared" si="195"/>
        <v>0</v>
      </c>
      <c r="AC602" s="156">
        <f t="shared" si="195"/>
        <v>0</v>
      </c>
      <c r="AD602" s="156">
        <f t="shared" si="195"/>
        <v>-213098.73557086961</v>
      </c>
      <c r="AE602" s="156">
        <f t="shared" si="195"/>
        <v>0</v>
      </c>
      <c r="AF602" s="156">
        <f t="shared" si="195"/>
        <v>0</v>
      </c>
      <c r="AG602" s="156">
        <f t="shared" si="195"/>
        <v>0</v>
      </c>
      <c r="AH602" s="156">
        <f t="shared" si="195"/>
        <v>0</v>
      </c>
      <c r="AI602" s="156">
        <f t="shared" si="195"/>
        <v>0</v>
      </c>
      <c r="AJ602" s="156">
        <f t="shared" ref="AJ602:BO602" si="196">Forecast_year_amenity_cost*Forecast_year_mask</f>
        <v>0</v>
      </c>
      <c r="AK602" s="156">
        <f t="shared" si="196"/>
        <v>0</v>
      </c>
      <c r="AL602" s="156">
        <f t="shared" si="196"/>
        <v>0</v>
      </c>
      <c r="AM602" s="156">
        <f t="shared" si="196"/>
        <v>0</v>
      </c>
      <c r="AN602" s="156">
        <f t="shared" si="196"/>
        <v>0</v>
      </c>
      <c r="AO602" s="156">
        <f t="shared" si="196"/>
        <v>0</v>
      </c>
      <c r="AP602" s="156">
        <f t="shared" si="196"/>
        <v>0</v>
      </c>
      <c r="AQ602" s="156">
        <f t="shared" si="196"/>
        <v>0</v>
      </c>
      <c r="AR602" s="156">
        <f t="shared" si="196"/>
        <v>0</v>
      </c>
      <c r="AS602" s="156">
        <f t="shared" si="196"/>
        <v>0</v>
      </c>
      <c r="AT602" s="156">
        <f t="shared" si="196"/>
        <v>0</v>
      </c>
      <c r="AU602" s="156">
        <f t="shared" si="196"/>
        <v>0</v>
      </c>
      <c r="AV602" s="156">
        <f t="shared" si="196"/>
        <v>0</v>
      </c>
      <c r="AW602" s="156">
        <f t="shared" si="196"/>
        <v>0</v>
      </c>
      <c r="AX602" s="156">
        <f t="shared" si="196"/>
        <v>0</v>
      </c>
      <c r="AY602" s="156">
        <f t="shared" si="196"/>
        <v>0</v>
      </c>
      <c r="AZ602" s="156">
        <f t="shared" si="196"/>
        <v>0</v>
      </c>
      <c r="BA602" s="156">
        <f t="shared" si="196"/>
        <v>0</v>
      </c>
      <c r="BB602" s="156">
        <f t="shared" si="196"/>
        <v>0</v>
      </c>
      <c r="BC602" s="156">
        <f t="shared" si="196"/>
        <v>0</v>
      </c>
      <c r="BD602" s="156">
        <f t="shared" si="196"/>
        <v>0</v>
      </c>
      <c r="BE602" s="156">
        <f t="shared" si="196"/>
        <v>0</v>
      </c>
      <c r="BF602" s="156">
        <f t="shared" si="196"/>
        <v>0</v>
      </c>
      <c r="BG602" s="156">
        <f t="shared" si="196"/>
        <v>0</v>
      </c>
      <c r="BH602" s="156">
        <f t="shared" si="196"/>
        <v>0</v>
      </c>
      <c r="BI602" s="156">
        <f t="shared" si="196"/>
        <v>0</v>
      </c>
      <c r="BJ602" s="156">
        <f t="shared" si="196"/>
        <v>0</v>
      </c>
      <c r="BK602" s="156">
        <f t="shared" si="196"/>
        <v>0</v>
      </c>
      <c r="BL602" s="156">
        <f t="shared" si="196"/>
        <v>0</v>
      </c>
      <c r="BM602" s="156">
        <f t="shared" si="196"/>
        <v>0</v>
      </c>
      <c r="BN602" s="156">
        <f t="shared" si="196"/>
        <v>0</v>
      </c>
      <c r="BO602" s="156">
        <f t="shared" si="196"/>
        <v>0</v>
      </c>
      <c r="BP602" s="156">
        <f t="shared" ref="BP602:CP602" si="197">Forecast_year_amenity_cost*Forecast_year_mask</f>
        <v>0</v>
      </c>
      <c r="BQ602" s="156">
        <f t="shared" si="197"/>
        <v>0</v>
      </c>
      <c r="BR602" s="156">
        <f t="shared" si="197"/>
        <v>0</v>
      </c>
      <c r="BS602" s="156">
        <f t="shared" si="197"/>
        <v>0</v>
      </c>
      <c r="BT602" s="156">
        <f t="shared" si="197"/>
        <v>0</v>
      </c>
      <c r="BU602" s="156">
        <f t="shared" si="197"/>
        <v>0</v>
      </c>
      <c r="BV602" s="156">
        <f t="shared" si="197"/>
        <v>0</v>
      </c>
      <c r="BW602" s="156">
        <f t="shared" si="197"/>
        <v>0</v>
      </c>
      <c r="BX602" s="156">
        <f t="shared" si="197"/>
        <v>0</v>
      </c>
      <c r="BY602" s="156">
        <f t="shared" si="197"/>
        <v>0</v>
      </c>
      <c r="BZ602" s="156">
        <f t="shared" si="197"/>
        <v>0</v>
      </c>
      <c r="CA602" s="156">
        <f t="shared" si="197"/>
        <v>0</v>
      </c>
      <c r="CB602" s="156">
        <f t="shared" si="197"/>
        <v>0</v>
      </c>
      <c r="CC602" s="156">
        <f t="shared" si="197"/>
        <v>0</v>
      </c>
      <c r="CD602" s="156">
        <f t="shared" si="197"/>
        <v>0</v>
      </c>
      <c r="CE602" s="156">
        <f t="shared" si="197"/>
        <v>0</v>
      </c>
      <c r="CF602" s="156">
        <f t="shared" si="197"/>
        <v>0</v>
      </c>
      <c r="CG602" s="156">
        <f t="shared" si="197"/>
        <v>0</v>
      </c>
      <c r="CH602" s="156">
        <f t="shared" si="197"/>
        <v>0</v>
      </c>
      <c r="CI602" s="156">
        <f t="shared" si="197"/>
        <v>0</v>
      </c>
      <c r="CJ602" s="156">
        <f t="shared" si="197"/>
        <v>0</v>
      </c>
      <c r="CK602" s="156">
        <f t="shared" si="197"/>
        <v>0</v>
      </c>
      <c r="CL602" s="156">
        <f t="shared" si="197"/>
        <v>0</v>
      </c>
      <c r="CM602" s="156">
        <f t="shared" si="197"/>
        <v>0</v>
      </c>
      <c r="CN602" s="156">
        <f t="shared" si="197"/>
        <v>0</v>
      </c>
      <c r="CO602" s="156">
        <f t="shared" si="197"/>
        <v>0</v>
      </c>
      <c r="CP602" s="156">
        <f t="shared" si="197"/>
        <v>0</v>
      </c>
      <c r="CQ602" s="28" t="s">
        <v>438</v>
      </c>
    </row>
    <row r="603" spans="1:95" s="8" customFormat="1" ht="15" hidden="1" outlineLevel="2" x14ac:dyDescent="0.25">
      <c r="A603" s="89"/>
      <c r="B603" s="89" t="s">
        <v>414</v>
      </c>
      <c r="C603" s="89"/>
      <c r="D603" s="156">
        <f t="shared" ref="D603:AI603" si="198">(Opening_year_amenity_cost+(Difference_amenity_cost)*(year-Opening_year)/(Forecast_and_opening_year_difference))*Interpolation_mask</f>
        <v>0</v>
      </c>
      <c r="E603" s="156">
        <f t="shared" si="198"/>
        <v>0</v>
      </c>
      <c r="F603" s="156">
        <f t="shared" si="198"/>
        <v>0</v>
      </c>
      <c r="G603" s="156">
        <f t="shared" si="198"/>
        <v>0</v>
      </c>
      <c r="H603" s="156">
        <f t="shared" si="198"/>
        <v>0</v>
      </c>
      <c r="I603" s="156">
        <f t="shared" si="198"/>
        <v>0</v>
      </c>
      <c r="J603" s="156">
        <f t="shared" si="198"/>
        <v>0</v>
      </c>
      <c r="K603" s="156">
        <f t="shared" si="198"/>
        <v>0</v>
      </c>
      <c r="L603" s="156">
        <f t="shared" si="198"/>
        <v>0</v>
      </c>
      <c r="M603" s="156">
        <f t="shared" si="198"/>
        <v>0</v>
      </c>
      <c r="N603" s="156">
        <f t="shared" si="198"/>
        <v>0</v>
      </c>
      <c r="O603" s="156">
        <f t="shared" si="198"/>
        <v>0</v>
      </c>
      <c r="P603" s="156">
        <f t="shared" si="198"/>
        <v>0</v>
      </c>
      <c r="Q603" s="156">
        <f t="shared" si="198"/>
        <v>0</v>
      </c>
      <c r="R603" s="156">
        <f t="shared" si="198"/>
        <v>0</v>
      </c>
      <c r="S603" s="156">
        <f t="shared" si="198"/>
        <v>0</v>
      </c>
      <c r="T603" s="156">
        <f t="shared" si="198"/>
        <v>0</v>
      </c>
      <c r="U603" s="156">
        <f t="shared" si="198"/>
        <v>-237350.21762092898</v>
      </c>
      <c r="V603" s="156">
        <f t="shared" si="198"/>
        <v>-234655.60850425571</v>
      </c>
      <c r="W603" s="156">
        <f t="shared" si="198"/>
        <v>-231960.99938758244</v>
      </c>
      <c r="X603" s="156">
        <f t="shared" si="198"/>
        <v>-229266.39027090918</v>
      </c>
      <c r="Y603" s="156">
        <f t="shared" si="198"/>
        <v>-226571.78115423594</v>
      </c>
      <c r="Z603" s="156">
        <f t="shared" si="198"/>
        <v>-223877.17203756268</v>
      </c>
      <c r="AA603" s="156">
        <f t="shared" si="198"/>
        <v>-221182.56292088941</v>
      </c>
      <c r="AB603" s="156">
        <f t="shared" si="198"/>
        <v>-218487.95380421614</v>
      </c>
      <c r="AC603" s="156">
        <f t="shared" si="198"/>
        <v>-215793.34468754288</v>
      </c>
      <c r="AD603" s="156">
        <f t="shared" si="198"/>
        <v>0</v>
      </c>
      <c r="AE603" s="156">
        <f t="shared" si="198"/>
        <v>0</v>
      </c>
      <c r="AF603" s="156">
        <f t="shared" si="198"/>
        <v>0</v>
      </c>
      <c r="AG603" s="156">
        <f t="shared" si="198"/>
        <v>0</v>
      </c>
      <c r="AH603" s="156">
        <f t="shared" si="198"/>
        <v>0</v>
      </c>
      <c r="AI603" s="156">
        <f t="shared" si="198"/>
        <v>0</v>
      </c>
      <c r="AJ603" s="156">
        <f t="shared" ref="AJ603:BO603" si="199">(Opening_year_amenity_cost+(Difference_amenity_cost)*(year-Opening_year)/(Forecast_and_opening_year_difference))*Interpolation_mask</f>
        <v>0</v>
      </c>
      <c r="AK603" s="156">
        <f t="shared" si="199"/>
        <v>0</v>
      </c>
      <c r="AL603" s="156">
        <f t="shared" si="199"/>
        <v>0</v>
      </c>
      <c r="AM603" s="156">
        <f t="shared" si="199"/>
        <v>0</v>
      </c>
      <c r="AN603" s="156">
        <f t="shared" si="199"/>
        <v>0</v>
      </c>
      <c r="AO603" s="156">
        <f t="shared" si="199"/>
        <v>0</v>
      </c>
      <c r="AP603" s="156">
        <f t="shared" si="199"/>
        <v>0</v>
      </c>
      <c r="AQ603" s="156">
        <f t="shared" si="199"/>
        <v>0</v>
      </c>
      <c r="AR603" s="156">
        <f t="shared" si="199"/>
        <v>0</v>
      </c>
      <c r="AS603" s="156">
        <f t="shared" si="199"/>
        <v>0</v>
      </c>
      <c r="AT603" s="156">
        <f t="shared" si="199"/>
        <v>0</v>
      </c>
      <c r="AU603" s="156">
        <f t="shared" si="199"/>
        <v>0</v>
      </c>
      <c r="AV603" s="156">
        <f t="shared" si="199"/>
        <v>0</v>
      </c>
      <c r="AW603" s="156">
        <f t="shared" si="199"/>
        <v>0</v>
      </c>
      <c r="AX603" s="156">
        <f t="shared" si="199"/>
        <v>0</v>
      </c>
      <c r="AY603" s="156">
        <f t="shared" si="199"/>
        <v>0</v>
      </c>
      <c r="AZ603" s="156">
        <f t="shared" si="199"/>
        <v>0</v>
      </c>
      <c r="BA603" s="156">
        <f t="shared" si="199"/>
        <v>0</v>
      </c>
      <c r="BB603" s="156">
        <f t="shared" si="199"/>
        <v>0</v>
      </c>
      <c r="BC603" s="156">
        <f t="shared" si="199"/>
        <v>0</v>
      </c>
      <c r="BD603" s="156">
        <f t="shared" si="199"/>
        <v>0</v>
      </c>
      <c r="BE603" s="156">
        <f t="shared" si="199"/>
        <v>0</v>
      </c>
      <c r="BF603" s="156">
        <f t="shared" si="199"/>
        <v>0</v>
      </c>
      <c r="BG603" s="156">
        <f t="shared" si="199"/>
        <v>0</v>
      </c>
      <c r="BH603" s="156">
        <f t="shared" si="199"/>
        <v>0</v>
      </c>
      <c r="BI603" s="156">
        <f t="shared" si="199"/>
        <v>0</v>
      </c>
      <c r="BJ603" s="156">
        <f t="shared" si="199"/>
        <v>0</v>
      </c>
      <c r="BK603" s="156">
        <f t="shared" si="199"/>
        <v>0</v>
      </c>
      <c r="BL603" s="156">
        <f t="shared" si="199"/>
        <v>0</v>
      </c>
      <c r="BM603" s="156">
        <f t="shared" si="199"/>
        <v>0</v>
      </c>
      <c r="BN603" s="156">
        <f t="shared" si="199"/>
        <v>0</v>
      </c>
      <c r="BO603" s="156">
        <f t="shared" si="199"/>
        <v>0</v>
      </c>
      <c r="BP603" s="156">
        <f t="shared" ref="BP603:CP603" si="200">(Opening_year_amenity_cost+(Difference_amenity_cost)*(year-Opening_year)/(Forecast_and_opening_year_difference))*Interpolation_mask</f>
        <v>0</v>
      </c>
      <c r="BQ603" s="156">
        <f t="shared" si="200"/>
        <v>0</v>
      </c>
      <c r="BR603" s="156">
        <f t="shared" si="200"/>
        <v>0</v>
      </c>
      <c r="BS603" s="156">
        <f t="shared" si="200"/>
        <v>0</v>
      </c>
      <c r="BT603" s="156">
        <f t="shared" si="200"/>
        <v>0</v>
      </c>
      <c r="BU603" s="156">
        <f t="shared" si="200"/>
        <v>0</v>
      </c>
      <c r="BV603" s="156">
        <f t="shared" si="200"/>
        <v>0</v>
      </c>
      <c r="BW603" s="156">
        <f t="shared" si="200"/>
        <v>0</v>
      </c>
      <c r="BX603" s="156">
        <f t="shared" si="200"/>
        <v>0</v>
      </c>
      <c r="BY603" s="156">
        <f t="shared" si="200"/>
        <v>0</v>
      </c>
      <c r="BZ603" s="156">
        <f t="shared" si="200"/>
        <v>0</v>
      </c>
      <c r="CA603" s="156">
        <f t="shared" si="200"/>
        <v>0</v>
      </c>
      <c r="CB603" s="156">
        <f t="shared" si="200"/>
        <v>0</v>
      </c>
      <c r="CC603" s="156">
        <f t="shared" si="200"/>
        <v>0</v>
      </c>
      <c r="CD603" s="156">
        <f t="shared" si="200"/>
        <v>0</v>
      </c>
      <c r="CE603" s="156">
        <f t="shared" si="200"/>
        <v>0</v>
      </c>
      <c r="CF603" s="156">
        <f t="shared" si="200"/>
        <v>0</v>
      </c>
      <c r="CG603" s="156">
        <f t="shared" si="200"/>
        <v>0</v>
      </c>
      <c r="CH603" s="156">
        <f t="shared" si="200"/>
        <v>0</v>
      </c>
      <c r="CI603" s="156">
        <f t="shared" si="200"/>
        <v>0</v>
      </c>
      <c r="CJ603" s="156">
        <f t="shared" si="200"/>
        <v>0</v>
      </c>
      <c r="CK603" s="156">
        <f t="shared" si="200"/>
        <v>0</v>
      </c>
      <c r="CL603" s="156">
        <f t="shared" si="200"/>
        <v>0</v>
      </c>
      <c r="CM603" s="156">
        <f t="shared" si="200"/>
        <v>0</v>
      </c>
      <c r="CN603" s="156">
        <f t="shared" si="200"/>
        <v>0</v>
      </c>
      <c r="CO603" s="156">
        <f t="shared" si="200"/>
        <v>0</v>
      </c>
      <c r="CP603" s="156">
        <f t="shared" si="200"/>
        <v>0</v>
      </c>
      <c r="CQ603" s="28" t="s">
        <v>439</v>
      </c>
    </row>
    <row r="604" spans="1:95" s="8" customFormat="1" ht="15" hidden="1" outlineLevel="2" x14ac:dyDescent="0.25">
      <c r="A604" s="89"/>
      <c r="B604" s="89" t="s">
        <v>416</v>
      </c>
      <c r="C604" s="89"/>
      <c r="D604" s="156">
        <f t="shared" ref="D604:AI604" si="201">Forecast_year_amenity_cost*Extrapolation_mask</f>
        <v>0</v>
      </c>
      <c r="E604" s="156">
        <f t="shared" si="201"/>
        <v>0</v>
      </c>
      <c r="F604" s="156">
        <f t="shared" si="201"/>
        <v>0</v>
      </c>
      <c r="G604" s="156">
        <f t="shared" si="201"/>
        <v>0</v>
      </c>
      <c r="H604" s="156">
        <f t="shared" si="201"/>
        <v>0</v>
      </c>
      <c r="I604" s="156">
        <f t="shared" si="201"/>
        <v>0</v>
      </c>
      <c r="J604" s="156">
        <f t="shared" si="201"/>
        <v>0</v>
      </c>
      <c r="K604" s="156">
        <f t="shared" si="201"/>
        <v>0</v>
      </c>
      <c r="L604" s="156">
        <f t="shared" si="201"/>
        <v>0</v>
      </c>
      <c r="M604" s="156">
        <f t="shared" si="201"/>
        <v>0</v>
      </c>
      <c r="N604" s="156">
        <f t="shared" si="201"/>
        <v>0</v>
      </c>
      <c r="O604" s="156">
        <f t="shared" si="201"/>
        <v>0</v>
      </c>
      <c r="P604" s="156">
        <f t="shared" si="201"/>
        <v>0</v>
      </c>
      <c r="Q604" s="156">
        <f t="shared" si="201"/>
        <v>0</v>
      </c>
      <c r="R604" s="156">
        <f t="shared" si="201"/>
        <v>0</v>
      </c>
      <c r="S604" s="156">
        <f t="shared" si="201"/>
        <v>0</v>
      </c>
      <c r="T604" s="156">
        <f t="shared" si="201"/>
        <v>0</v>
      </c>
      <c r="U604" s="156">
        <f t="shared" si="201"/>
        <v>0</v>
      </c>
      <c r="V604" s="156">
        <f t="shared" si="201"/>
        <v>0</v>
      </c>
      <c r="W604" s="156">
        <f t="shared" si="201"/>
        <v>0</v>
      </c>
      <c r="X604" s="156">
        <f t="shared" si="201"/>
        <v>0</v>
      </c>
      <c r="Y604" s="156">
        <f t="shared" si="201"/>
        <v>0</v>
      </c>
      <c r="Z604" s="156">
        <f t="shared" si="201"/>
        <v>0</v>
      </c>
      <c r="AA604" s="156">
        <f t="shared" si="201"/>
        <v>0</v>
      </c>
      <c r="AB604" s="156">
        <f t="shared" si="201"/>
        <v>0</v>
      </c>
      <c r="AC604" s="156">
        <f t="shared" si="201"/>
        <v>0</v>
      </c>
      <c r="AD604" s="156">
        <f t="shared" si="201"/>
        <v>0</v>
      </c>
      <c r="AE604" s="156">
        <f t="shared" si="201"/>
        <v>-213098.73557086961</v>
      </c>
      <c r="AF604" s="156">
        <f t="shared" si="201"/>
        <v>-213098.73557086961</v>
      </c>
      <c r="AG604" s="156">
        <f t="shared" si="201"/>
        <v>-213098.73557086961</v>
      </c>
      <c r="AH604" s="156">
        <f t="shared" si="201"/>
        <v>-213098.73557086961</v>
      </c>
      <c r="AI604" s="156">
        <f t="shared" si="201"/>
        <v>-213098.73557086961</v>
      </c>
      <c r="AJ604" s="156">
        <f t="shared" ref="AJ604:BO604" si="202">Forecast_year_amenity_cost*Extrapolation_mask</f>
        <v>-213098.73557086961</v>
      </c>
      <c r="AK604" s="156">
        <f t="shared" si="202"/>
        <v>-213098.73557086961</v>
      </c>
      <c r="AL604" s="156">
        <f t="shared" si="202"/>
        <v>-213098.73557086961</v>
      </c>
      <c r="AM604" s="156">
        <f t="shared" si="202"/>
        <v>-213098.73557086961</v>
      </c>
      <c r="AN604" s="156">
        <f t="shared" si="202"/>
        <v>-213098.73557086961</v>
      </c>
      <c r="AO604" s="156">
        <f t="shared" si="202"/>
        <v>-213098.73557086961</v>
      </c>
      <c r="AP604" s="156">
        <f t="shared" si="202"/>
        <v>-213098.73557086961</v>
      </c>
      <c r="AQ604" s="156">
        <f t="shared" si="202"/>
        <v>-213098.73557086961</v>
      </c>
      <c r="AR604" s="156">
        <f t="shared" si="202"/>
        <v>-213098.73557086961</v>
      </c>
      <c r="AS604" s="156">
        <f t="shared" si="202"/>
        <v>-213098.73557086961</v>
      </c>
      <c r="AT604" s="156">
        <f t="shared" si="202"/>
        <v>-213098.73557086961</v>
      </c>
      <c r="AU604" s="156">
        <f t="shared" si="202"/>
        <v>-213098.73557086961</v>
      </c>
      <c r="AV604" s="156">
        <f t="shared" si="202"/>
        <v>-213098.73557086961</v>
      </c>
      <c r="AW604" s="156">
        <f t="shared" si="202"/>
        <v>-213098.73557086961</v>
      </c>
      <c r="AX604" s="156">
        <f t="shared" si="202"/>
        <v>-213098.73557086961</v>
      </c>
      <c r="AY604" s="156">
        <f t="shared" si="202"/>
        <v>-213098.73557086961</v>
      </c>
      <c r="AZ604" s="156">
        <f t="shared" si="202"/>
        <v>-213098.73557086961</v>
      </c>
      <c r="BA604" s="156">
        <f t="shared" si="202"/>
        <v>-213098.73557086961</v>
      </c>
      <c r="BB604" s="156">
        <f t="shared" si="202"/>
        <v>-213098.73557086961</v>
      </c>
      <c r="BC604" s="156">
        <f t="shared" si="202"/>
        <v>-213098.73557086961</v>
      </c>
      <c r="BD604" s="156">
        <f t="shared" si="202"/>
        <v>-213098.73557086961</v>
      </c>
      <c r="BE604" s="156">
        <f t="shared" si="202"/>
        <v>-213098.73557086961</v>
      </c>
      <c r="BF604" s="156">
        <f t="shared" si="202"/>
        <v>-213098.73557086961</v>
      </c>
      <c r="BG604" s="156">
        <f t="shared" si="202"/>
        <v>-213098.73557086961</v>
      </c>
      <c r="BH604" s="156">
        <f t="shared" si="202"/>
        <v>-213098.73557086961</v>
      </c>
      <c r="BI604" s="156">
        <f t="shared" si="202"/>
        <v>-213098.73557086961</v>
      </c>
      <c r="BJ604" s="156">
        <f t="shared" si="202"/>
        <v>-213098.73557086961</v>
      </c>
      <c r="BK604" s="156">
        <f t="shared" si="202"/>
        <v>-213098.73557086961</v>
      </c>
      <c r="BL604" s="156">
        <f t="shared" si="202"/>
        <v>-213098.73557086961</v>
      </c>
      <c r="BM604" s="156">
        <f t="shared" si="202"/>
        <v>-213098.73557086961</v>
      </c>
      <c r="BN604" s="156">
        <f t="shared" si="202"/>
        <v>-213098.73557086961</v>
      </c>
      <c r="BO604" s="156">
        <f t="shared" si="202"/>
        <v>-213098.73557086961</v>
      </c>
      <c r="BP604" s="156">
        <f t="shared" ref="BP604:CP604" si="203">Forecast_year_amenity_cost*Extrapolation_mask</f>
        <v>-213098.73557086961</v>
      </c>
      <c r="BQ604" s="156">
        <f t="shared" si="203"/>
        <v>-213098.73557086961</v>
      </c>
      <c r="BR604" s="156">
        <f t="shared" si="203"/>
        <v>-213098.73557086961</v>
      </c>
      <c r="BS604" s="156">
        <f t="shared" si="203"/>
        <v>-213098.73557086961</v>
      </c>
      <c r="BT604" s="156">
        <f t="shared" si="203"/>
        <v>-213098.73557086961</v>
      </c>
      <c r="BU604" s="156">
        <f t="shared" si="203"/>
        <v>-213098.73557086961</v>
      </c>
      <c r="BV604" s="156">
        <f t="shared" si="203"/>
        <v>-213098.73557086961</v>
      </c>
      <c r="BW604" s="156">
        <f t="shared" si="203"/>
        <v>-213098.73557086961</v>
      </c>
      <c r="BX604" s="156">
        <f t="shared" si="203"/>
        <v>-213098.73557086961</v>
      </c>
      <c r="BY604" s="156">
        <f t="shared" si="203"/>
        <v>-213098.73557086961</v>
      </c>
      <c r="BZ604" s="156">
        <f t="shared" si="203"/>
        <v>-213098.73557086961</v>
      </c>
      <c r="CA604" s="156">
        <f t="shared" si="203"/>
        <v>-213098.73557086961</v>
      </c>
      <c r="CB604" s="156">
        <f t="shared" si="203"/>
        <v>0</v>
      </c>
      <c r="CC604" s="156">
        <f t="shared" si="203"/>
        <v>0</v>
      </c>
      <c r="CD604" s="156">
        <f t="shared" si="203"/>
        <v>0</v>
      </c>
      <c r="CE604" s="156">
        <f t="shared" si="203"/>
        <v>0</v>
      </c>
      <c r="CF604" s="156">
        <f t="shared" si="203"/>
        <v>0</v>
      </c>
      <c r="CG604" s="156">
        <f t="shared" si="203"/>
        <v>0</v>
      </c>
      <c r="CH604" s="156">
        <f t="shared" si="203"/>
        <v>0</v>
      </c>
      <c r="CI604" s="156">
        <f t="shared" si="203"/>
        <v>0</v>
      </c>
      <c r="CJ604" s="156">
        <f t="shared" si="203"/>
        <v>0</v>
      </c>
      <c r="CK604" s="156">
        <f t="shared" si="203"/>
        <v>0</v>
      </c>
      <c r="CL604" s="156">
        <f t="shared" si="203"/>
        <v>0</v>
      </c>
      <c r="CM604" s="156">
        <f t="shared" si="203"/>
        <v>0</v>
      </c>
      <c r="CN604" s="156">
        <f t="shared" si="203"/>
        <v>0</v>
      </c>
      <c r="CO604" s="156">
        <f t="shared" si="203"/>
        <v>0</v>
      </c>
      <c r="CP604" s="156">
        <f t="shared" si="203"/>
        <v>0</v>
      </c>
      <c r="CQ604" s="28" t="s">
        <v>440</v>
      </c>
    </row>
    <row r="605" spans="1:95" s="8" customFormat="1" ht="15" hidden="1" outlineLevel="2" x14ac:dyDescent="0.25">
      <c r="A605" s="89"/>
      <c r="B605" s="89" t="s">
        <v>420</v>
      </c>
      <c r="C605" s="89"/>
      <c r="D605" s="156">
        <f t="shared" ref="D605:AI605" si="204">Opening_year_amenity_cost_mask+Forecast_year_amenity_cost_mask+Interpolation_amenity_cost_mask+Extrapolation_amenity_cost_mask</f>
        <v>0</v>
      </c>
      <c r="E605" s="156">
        <f t="shared" si="204"/>
        <v>0</v>
      </c>
      <c r="F605" s="156">
        <f t="shared" si="204"/>
        <v>0</v>
      </c>
      <c r="G605" s="156">
        <f t="shared" si="204"/>
        <v>0</v>
      </c>
      <c r="H605" s="156">
        <f t="shared" si="204"/>
        <v>0</v>
      </c>
      <c r="I605" s="156">
        <f t="shared" si="204"/>
        <v>0</v>
      </c>
      <c r="J605" s="156">
        <f t="shared" si="204"/>
        <v>0</v>
      </c>
      <c r="K605" s="156">
        <f t="shared" si="204"/>
        <v>0</v>
      </c>
      <c r="L605" s="156">
        <f t="shared" si="204"/>
        <v>0</v>
      </c>
      <c r="M605" s="156">
        <f t="shared" si="204"/>
        <v>0</v>
      </c>
      <c r="N605" s="156">
        <f t="shared" si="204"/>
        <v>0</v>
      </c>
      <c r="O605" s="156">
        <f t="shared" si="204"/>
        <v>0</v>
      </c>
      <c r="P605" s="156">
        <f t="shared" si="204"/>
        <v>0</v>
      </c>
      <c r="Q605" s="156">
        <f t="shared" si="204"/>
        <v>0</v>
      </c>
      <c r="R605" s="156">
        <f t="shared" si="204"/>
        <v>0</v>
      </c>
      <c r="S605" s="156">
        <f t="shared" si="204"/>
        <v>0</v>
      </c>
      <c r="T605" s="156">
        <f t="shared" si="204"/>
        <v>-240044.82673760224</v>
      </c>
      <c r="U605" s="156">
        <f t="shared" si="204"/>
        <v>-237350.21762092898</v>
      </c>
      <c r="V605" s="156">
        <f t="shared" si="204"/>
        <v>-234655.60850425571</v>
      </c>
      <c r="W605" s="156">
        <f t="shared" si="204"/>
        <v>-231960.99938758244</v>
      </c>
      <c r="X605" s="156">
        <f t="shared" si="204"/>
        <v>-229266.39027090918</v>
      </c>
      <c r="Y605" s="156">
        <f t="shared" si="204"/>
        <v>-226571.78115423594</v>
      </c>
      <c r="Z605" s="156">
        <f t="shared" si="204"/>
        <v>-223877.17203756268</v>
      </c>
      <c r="AA605" s="156">
        <f t="shared" si="204"/>
        <v>-221182.56292088941</v>
      </c>
      <c r="AB605" s="156">
        <f t="shared" si="204"/>
        <v>-218487.95380421614</v>
      </c>
      <c r="AC605" s="156">
        <f t="shared" si="204"/>
        <v>-215793.34468754288</v>
      </c>
      <c r="AD605" s="156">
        <f t="shared" si="204"/>
        <v>-213098.73557086961</v>
      </c>
      <c r="AE605" s="156">
        <f t="shared" si="204"/>
        <v>-213098.73557086961</v>
      </c>
      <c r="AF605" s="156">
        <f t="shared" si="204"/>
        <v>-213098.73557086961</v>
      </c>
      <c r="AG605" s="156">
        <f t="shared" si="204"/>
        <v>-213098.73557086961</v>
      </c>
      <c r="AH605" s="156">
        <f t="shared" si="204"/>
        <v>-213098.73557086961</v>
      </c>
      <c r="AI605" s="156">
        <f t="shared" si="204"/>
        <v>-213098.73557086961</v>
      </c>
      <c r="AJ605" s="156">
        <f t="shared" ref="AJ605:BO605" si="205">Opening_year_amenity_cost_mask+Forecast_year_amenity_cost_mask+Interpolation_amenity_cost_mask+Extrapolation_amenity_cost_mask</f>
        <v>-213098.73557086961</v>
      </c>
      <c r="AK605" s="156">
        <f t="shared" si="205"/>
        <v>-213098.73557086961</v>
      </c>
      <c r="AL605" s="156">
        <f t="shared" si="205"/>
        <v>-213098.73557086961</v>
      </c>
      <c r="AM605" s="156">
        <f t="shared" si="205"/>
        <v>-213098.73557086961</v>
      </c>
      <c r="AN605" s="156">
        <f t="shared" si="205"/>
        <v>-213098.73557086961</v>
      </c>
      <c r="AO605" s="156">
        <f t="shared" si="205"/>
        <v>-213098.73557086961</v>
      </c>
      <c r="AP605" s="156">
        <f t="shared" si="205"/>
        <v>-213098.73557086961</v>
      </c>
      <c r="AQ605" s="156">
        <f t="shared" si="205"/>
        <v>-213098.73557086961</v>
      </c>
      <c r="AR605" s="156">
        <f t="shared" si="205"/>
        <v>-213098.73557086961</v>
      </c>
      <c r="AS605" s="156">
        <f t="shared" si="205"/>
        <v>-213098.73557086961</v>
      </c>
      <c r="AT605" s="156">
        <f t="shared" si="205"/>
        <v>-213098.73557086961</v>
      </c>
      <c r="AU605" s="156">
        <f t="shared" si="205"/>
        <v>-213098.73557086961</v>
      </c>
      <c r="AV605" s="156">
        <f t="shared" si="205"/>
        <v>-213098.73557086961</v>
      </c>
      <c r="AW605" s="156">
        <f t="shared" si="205"/>
        <v>-213098.73557086961</v>
      </c>
      <c r="AX605" s="156">
        <f t="shared" si="205"/>
        <v>-213098.73557086961</v>
      </c>
      <c r="AY605" s="156">
        <f t="shared" si="205"/>
        <v>-213098.73557086961</v>
      </c>
      <c r="AZ605" s="156">
        <f t="shared" si="205"/>
        <v>-213098.73557086961</v>
      </c>
      <c r="BA605" s="156">
        <f t="shared" si="205"/>
        <v>-213098.73557086961</v>
      </c>
      <c r="BB605" s="156">
        <f t="shared" si="205"/>
        <v>-213098.73557086961</v>
      </c>
      <c r="BC605" s="156">
        <f t="shared" si="205"/>
        <v>-213098.73557086961</v>
      </c>
      <c r="BD605" s="156">
        <f t="shared" si="205"/>
        <v>-213098.73557086961</v>
      </c>
      <c r="BE605" s="156">
        <f t="shared" si="205"/>
        <v>-213098.73557086961</v>
      </c>
      <c r="BF605" s="156">
        <f t="shared" si="205"/>
        <v>-213098.73557086961</v>
      </c>
      <c r="BG605" s="156">
        <f t="shared" si="205"/>
        <v>-213098.73557086961</v>
      </c>
      <c r="BH605" s="156">
        <f t="shared" si="205"/>
        <v>-213098.73557086961</v>
      </c>
      <c r="BI605" s="156">
        <f t="shared" si="205"/>
        <v>-213098.73557086961</v>
      </c>
      <c r="BJ605" s="156">
        <f t="shared" si="205"/>
        <v>-213098.73557086961</v>
      </c>
      <c r="BK605" s="156">
        <f t="shared" si="205"/>
        <v>-213098.73557086961</v>
      </c>
      <c r="BL605" s="156">
        <f t="shared" si="205"/>
        <v>-213098.73557086961</v>
      </c>
      <c r="BM605" s="156">
        <f t="shared" si="205"/>
        <v>-213098.73557086961</v>
      </c>
      <c r="BN605" s="156">
        <f t="shared" si="205"/>
        <v>-213098.73557086961</v>
      </c>
      <c r="BO605" s="156">
        <f t="shared" si="205"/>
        <v>-213098.73557086961</v>
      </c>
      <c r="BP605" s="156">
        <f t="shared" ref="BP605:CP605" si="206">Opening_year_amenity_cost_mask+Forecast_year_amenity_cost_mask+Interpolation_amenity_cost_mask+Extrapolation_amenity_cost_mask</f>
        <v>-213098.73557086961</v>
      </c>
      <c r="BQ605" s="156">
        <f t="shared" si="206"/>
        <v>-213098.73557086961</v>
      </c>
      <c r="BR605" s="156">
        <f t="shared" si="206"/>
        <v>-213098.73557086961</v>
      </c>
      <c r="BS605" s="156">
        <f t="shared" si="206"/>
        <v>-213098.73557086961</v>
      </c>
      <c r="BT605" s="156">
        <f t="shared" si="206"/>
        <v>-213098.73557086961</v>
      </c>
      <c r="BU605" s="156">
        <f t="shared" si="206"/>
        <v>-213098.73557086961</v>
      </c>
      <c r="BV605" s="156">
        <f t="shared" si="206"/>
        <v>-213098.73557086961</v>
      </c>
      <c r="BW605" s="156">
        <f t="shared" si="206"/>
        <v>-213098.73557086961</v>
      </c>
      <c r="BX605" s="156">
        <f t="shared" si="206"/>
        <v>-213098.73557086961</v>
      </c>
      <c r="BY605" s="156">
        <f t="shared" si="206"/>
        <v>-213098.73557086961</v>
      </c>
      <c r="BZ605" s="156">
        <f t="shared" si="206"/>
        <v>-213098.73557086961</v>
      </c>
      <c r="CA605" s="156">
        <f t="shared" si="206"/>
        <v>-213098.73557086961</v>
      </c>
      <c r="CB605" s="156">
        <f t="shared" si="206"/>
        <v>0</v>
      </c>
      <c r="CC605" s="156">
        <f t="shared" si="206"/>
        <v>0</v>
      </c>
      <c r="CD605" s="156">
        <f t="shared" si="206"/>
        <v>0</v>
      </c>
      <c r="CE605" s="156">
        <f t="shared" si="206"/>
        <v>0</v>
      </c>
      <c r="CF605" s="156">
        <f t="shared" si="206"/>
        <v>0</v>
      </c>
      <c r="CG605" s="156">
        <f t="shared" si="206"/>
        <v>0</v>
      </c>
      <c r="CH605" s="156">
        <f t="shared" si="206"/>
        <v>0</v>
      </c>
      <c r="CI605" s="156">
        <f t="shared" si="206"/>
        <v>0</v>
      </c>
      <c r="CJ605" s="156">
        <f t="shared" si="206"/>
        <v>0</v>
      </c>
      <c r="CK605" s="156">
        <f t="shared" si="206"/>
        <v>0</v>
      </c>
      <c r="CL605" s="156">
        <f t="shared" si="206"/>
        <v>0</v>
      </c>
      <c r="CM605" s="156">
        <f t="shared" si="206"/>
        <v>0</v>
      </c>
      <c r="CN605" s="156">
        <f t="shared" si="206"/>
        <v>0</v>
      </c>
      <c r="CO605" s="156">
        <f t="shared" si="206"/>
        <v>0</v>
      </c>
      <c r="CP605" s="156">
        <f t="shared" si="206"/>
        <v>0</v>
      </c>
      <c r="CQ605" s="28" t="s">
        <v>441</v>
      </c>
    </row>
    <row r="606" spans="1:95" s="8" customFormat="1" ht="15" hidden="1" outlineLevel="2" x14ac:dyDescent="0.25">
      <c r="A606" s="89"/>
      <c r="B606" s="89"/>
      <c r="C606" s="89"/>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A606" s="157"/>
      <c r="BB606" s="157"/>
      <c r="BC606" s="157"/>
      <c r="BD606" s="157"/>
      <c r="BE606" s="157"/>
      <c r="BF606" s="157"/>
      <c r="BG606" s="157"/>
      <c r="BH606" s="157"/>
      <c r="BI606" s="157"/>
      <c r="BJ606" s="157"/>
      <c r="BK606" s="157"/>
      <c r="BL606" s="157"/>
      <c r="BM606" s="157"/>
      <c r="BN606" s="157"/>
      <c r="BO606" s="157"/>
      <c r="BP606" s="157"/>
      <c r="BQ606" s="157"/>
      <c r="BR606" s="157"/>
      <c r="BS606" s="157"/>
      <c r="BT606" s="157"/>
      <c r="BU606" s="157"/>
      <c r="BV606" s="157"/>
      <c r="BW606" s="157"/>
      <c r="BX606" s="157"/>
      <c r="BY606" s="157"/>
      <c r="BZ606" s="157"/>
      <c r="CA606" s="157"/>
      <c r="CB606" s="157"/>
      <c r="CC606" s="157"/>
      <c r="CD606" s="157"/>
      <c r="CE606" s="157"/>
      <c r="CF606" s="157"/>
      <c r="CG606" s="157"/>
      <c r="CH606" s="157"/>
      <c r="CI606" s="157"/>
      <c r="CJ606" s="157"/>
      <c r="CK606" s="157"/>
      <c r="CL606" s="157"/>
      <c r="CM606" s="157"/>
      <c r="CN606" s="157"/>
      <c r="CO606" s="157"/>
      <c r="CP606" s="157"/>
      <c r="CQ606" s="28"/>
    </row>
    <row r="607" spans="1:95" s="5" customFormat="1" ht="18.75" hidden="1" customHeight="1" outlineLevel="2" x14ac:dyDescent="0.25">
      <c r="B607" s="5" t="s">
        <v>442</v>
      </c>
    </row>
    <row r="608" spans="1:95" s="4" customFormat="1" ht="18.75" hidden="1" customHeight="1" outlineLevel="2" x14ac:dyDescent="0.3">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c r="AN608" s="93"/>
      <c r="AO608" s="93"/>
      <c r="AP608" s="93"/>
      <c r="AQ608" s="93"/>
      <c r="AR608" s="93"/>
      <c r="AS608" s="93"/>
      <c r="AT608" s="93"/>
      <c r="AU608" s="93"/>
      <c r="AV608" s="93"/>
      <c r="AW608" s="93"/>
      <c r="AX608" s="93"/>
      <c r="AY608" s="93"/>
      <c r="AZ608" s="93"/>
      <c r="BA608" s="93"/>
      <c r="BB608" s="93"/>
      <c r="BC608" s="93"/>
      <c r="BD608" s="93"/>
      <c r="BE608" s="93"/>
      <c r="BF608" s="93"/>
      <c r="BG608" s="93"/>
      <c r="BH608" s="93"/>
      <c r="BI608" s="93"/>
      <c r="BJ608" s="93"/>
      <c r="BK608" s="93"/>
      <c r="BL608" s="93"/>
      <c r="BM608" s="93"/>
      <c r="BN608" s="93"/>
      <c r="BO608" s="93"/>
      <c r="BP608" s="93"/>
      <c r="BQ608" s="93"/>
      <c r="BR608" s="93"/>
      <c r="BS608" s="93"/>
      <c r="BT608" s="93"/>
      <c r="BU608" s="93"/>
      <c r="BV608" s="93"/>
      <c r="BW608" s="93"/>
      <c r="BX608" s="93"/>
      <c r="BY608" s="93"/>
      <c r="BZ608" s="93"/>
      <c r="CA608" s="93"/>
      <c r="CB608" s="93"/>
      <c r="CC608" s="93"/>
      <c r="CD608" s="93"/>
      <c r="CE608" s="93"/>
      <c r="CF608" s="93"/>
      <c r="CG608" s="93"/>
      <c r="CH608" s="93"/>
      <c r="CI608" s="93"/>
      <c r="CJ608" s="93"/>
      <c r="CK608" s="93"/>
      <c r="CL608" s="93"/>
      <c r="CM608" s="93"/>
      <c r="CN608" s="93"/>
      <c r="CO608" s="93"/>
      <c r="CP608" s="93"/>
      <c r="CQ608" s="93"/>
    </row>
    <row r="609" spans="1:95" s="8" customFormat="1" ht="14.25" hidden="1" customHeight="1" outlineLevel="2" x14ac:dyDescent="0.25">
      <c r="A609" s="89"/>
      <c r="B609" s="133"/>
      <c r="C609" s="133"/>
      <c r="D609" s="16">
        <v>2010</v>
      </c>
      <c r="E609" s="16">
        <v>2011</v>
      </c>
      <c r="F609" s="16">
        <v>2012</v>
      </c>
      <c r="G609" s="16">
        <v>2013</v>
      </c>
      <c r="H609" s="16">
        <v>2014</v>
      </c>
      <c r="I609" s="16">
        <v>2015</v>
      </c>
      <c r="J609" s="16">
        <v>2016</v>
      </c>
      <c r="K609" s="16">
        <v>2017</v>
      </c>
      <c r="L609" s="16">
        <v>2018</v>
      </c>
      <c r="M609" s="16">
        <v>2019</v>
      </c>
      <c r="N609" s="16">
        <v>2020</v>
      </c>
      <c r="O609" s="16">
        <v>2021</v>
      </c>
      <c r="P609" s="16">
        <v>2022</v>
      </c>
      <c r="Q609" s="16">
        <v>2023</v>
      </c>
      <c r="R609" s="16">
        <v>2024</v>
      </c>
      <c r="S609" s="16">
        <v>2025</v>
      </c>
      <c r="T609" s="16">
        <v>2026</v>
      </c>
      <c r="U609" s="16">
        <v>2027</v>
      </c>
      <c r="V609" s="16">
        <v>2028</v>
      </c>
      <c r="W609" s="16">
        <v>2029</v>
      </c>
      <c r="X609" s="16">
        <v>2030</v>
      </c>
      <c r="Y609" s="16">
        <v>2031</v>
      </c>
      <c r="Z609" s="16">
        <v>2032</v>
      </c>
      <c r="AA609" s="16">
        <v>2033</v>
      </c>
      <c r="AB609" s="16">
        <v>2034</v>
      </c>
      <c r="AC609" s="16">
        <v>2035</v>
      </c>
      <c r="AD609" s="16">
        <v>2036</v>
      </c>
      <c r="AE609" s="16">
        <v>2037</v>
      </c>
      <c r="AF609" s="16">
        <v>2038</v>
      </c>
      <c r="AG609" s="16">
        <v>2039</v>
      </c>
      <c r="AH609" s="16">
        <v>2040</v>
      </c>
      <c r="AI609" s="16">
        <v>2041</v>
      </c>
      <c r="AJ609" s="16">
        <v>2042</v>
      </c>
      <c r="AK609" s="16">
        <v>2043</v>
      </c>
      <c r="AL609" s="16">
        <v>2044</v>
      </c>
      <c r="AM609" s="16">
        <v>2045</v>
      </c>
      <c r="AN609" s="16">
        <v>2046</v>
      </c>
      <c r="AO609" s="16">
        <v>2047</v>
      </c>
      <c r="AP609" s="16">
        <v>2048</v>
      </c>
      <c r="AQ609" s="16">
        <v>2049</v>
      </c>
      <c r="AR609" s="16">
        <v>2050</v>
      </c>
      <c r="AS609" s="16">
        <v>2051</v>
      </c>
      <c r="AT609" s="16">
        <v>2052</v>
      </c>
      <c r="AU609" s="16">
        <v>2053</v>
      </c>
      <c r="AV609" s="16">
        <v>2054</v>
      </c>
      <c r="AW609" s="16">
        <v>2055</v>
      </c>
      <c r="AX609" s="16">
        <v>2056</v>
      </c>
      <c r="AY609" s="16">
        <v>2057</v>
      </c>
      <c r="AZ609" s="16">
        <v>2058</v>
      </c>
      <c r="BA609" s="16">
        <v>2059</v>
      </c>
      <c r="BB609" s="16">
        <v>2060</v>
      </c>
      <c r="BC609" s="16">
        <v>2061</v>
      </c>
      <c r="BD609" s="16">
        <v>2062</v>
      </c>
      <c r="BE609" s="16">
        <v>2063</v>
      </c>
      <c r="BF609" s="16">
        <v>2064</v>
      </c>
      <c r="BG609" s="16">
        <v>2065</v>
      </c>
      <c r="BH609" s="16">
        <v>2066</v>
      </c>
      <c r="BI609" s="16">
        <v>2067</v>
      </c>
      <c r="BJ609" s="16">
        <v>2068</v>
      </c>
      <c r="BK609" s="16">
        <v>2069</v>
      </c>
      <c r="BL609" s="16">
        <v>2070</v>
      </c>
      <c r="BM609" s="16">
        <v>2071</v>
      </c>
      <c r="BN609" s="16">
        <v>2072</v>
      </c>
      <c r="BO609" s="16">
        <v>2073</v>
      </c>
      <c r="BP609" s="16">
        <v>2074</v>
      </c>
      <c r="BQ609" s="16">
        <v>2075</v>
      </c>
      <c r="BR609" s="16">
        <v>2076</v>
      </c>
      <c r="BS609" s="16">
        <v>2077</v>
      </c>
      <c r="BT609" s="16">
        <v>2078</v>
      </c>
      <c r="BU609" s="16">
        <v>2079</v>
      </c>
      <c r="BV609" s="16">
        <v>2080</v>
      </c>
      <c r="BW609" s="16">
        <v>2081</v>
      </c>
      <c r="BX609" s="16">
        <v>2082</v>
      </c>
      <c r="BY609" s="16">
        <v>2083</v>
      </c>
      <c r="BZ609" s="16">
        <v>2084</v>
      </c>
      <c r="CA609" s="16">
        <v>2085</v>
      </c>
      <c r="CB609" s="16">
        <v>2086</v>
      </c>
      <c r="CC609" s="16">
        <v>2087</v>
      </c>
      <c r="CD609" s="16">
        <v>2088</v>
      </c>
      <c r="CE609" s="16">
        <v>2089</v>
      </c>
      <c r="CF609" s="16">
        <v>2090</v>
      </c>
      <c r="CG609" s="16">
        <v>2091</v>
      </c>
      <c r="CH609" s="16">
        <v>2092</v>
      </c>
      <c r="CI609" s="16">
        <v>2093</v>
      </c>
      <c r="CJ609" s="16">
        <v>2094</v>
      </c>
      <c r="CK609" s="16">
        <v>2095</v>
      </c>
      <c r="CL609" s="16">
        <v>2096</v>
      </c>
      <c r="CM609" s="16">
        <v>2097</v>
      </c>
      <c r="CN609" s="16">
        <v>2098</v>
      </c>
      <c r="CO609" s="16">
        <v>2099</v>
      </c>
      <c r="CP609" s="16">
        <v>2100</v>
      </c>
      <c r="CQ609" s="89"/>
    </row>
    <row r="610" spans="1:95" s="8" customFormat="1" ht="15" hidden="1" outlineLevel="2" x14ac:dyDescent="0.25">
      <c r="A610" s="89"/>
      <c r="B610" s="89" t="s">
        <v>3</v>
      </c>
      <c r="C610" s="89"/>
      <c r="D610" s="156">
        <f t="shared" ref="D610:AI610" si="207">Opening_year_AMI_cost*Opening_year_mask</f>
        <v>0</v>
      </c>
      <c r="E610" s="156">
        <f t="shared" si="207"/>
        <v>0</v>
      </c>
      <c r="F610" s="156">
        <f t="shared" si="207"/>
        <v>0</v>
      </c>
      <c r="G610" s="156">
        <f t="shared" si="207"/>
        <v>0</v>
      </c>
      <c r="H610" s="156">
        <f t="shared" si="207"/>
        <v>0</v>
      </c>
      <c r="I610" s="156">
        <f t="shared" si="207"/>
        <v>0</v>
      </c>
      <c r="J610" s="156">
        <f t="shared" si="207"/>
        <v>0</v>
      </c>
      <c r="K610" s="156">
        <f t="shared" si="207"/>
        <v>0</v>
      </c>
      <c r="L610" s="156">
        <f t="shared" si="207"/>
        <v>0</v>
      </c>
      <c r="M610" s="156">
        <f t="shared" si="207"/>
        <v>0</v>
      </c>
      <c r="N610" s="156">
        <f t="shared" si="207"/>
        <v>0</v>
      </c>
      <c r="O610" s="156">
        <f t="shared" si="207"/>
        <v>0</v>
      </c>
      <c r="P610" s="156">
        <f t="shared" si="207"/>
        <v>0</v>
      </c>
      <c r="Q610" s="156">
        <f t="shared" si="207"/>
        <v>0</v>
      </c>
      <c r="R610" s="156">
        <f t="shared" si="207"/>
        <v>0</v>
      </c>
      <c r="S610" s="156">
        <f t="shared" si="207"/>
        <v>0</v>
      </c>
      <c r="T610" s="156">
        <f t="shared" si="207"/>
        <v>-19928.472416125882</v>
      </c>
      <c r="U610" s="156">
        <f t="shared" si="207"/>
        <v>0</v>
      </c>
      <c r="V610" s="156">
        <f t="shared" si="207"/>
        <v>0</v>
      </c>
      <c r="W610" s="156">
        <f t="shared" si="207"/>
        <v>0</v>
      </c>
      <c r="X610" s="156">
        <f t="shared" si="207"/>
        <v>0</v>
      </c>
      <c r="Y610" s="156">
        <f t="shared" si="207"/>
        <v>0</v>
      </c>
      <c r="Z610" s="156">
        <f t="shared" si="207"/>
        <v>0</v>
      </c>
      <c r="AA610" s="156">
        <f t="shared" si="207"/>
        <v>0</v>
      </c>
      <c r="AB610" s="156">
        <f t="shared" si="207"/>
        <v>0</v>
      </c>
      <c r="AC610" s="156">
        <f t="shared" si="207"/>
        <v>0</v>
      </c>
      <c r="AD610" s="156">
        <f t="shared" si="207"/>
        <v>0</v>
      </c>
      <c r="AE610" s="156">
        <f t="shared" si="207"/>
        <v>0</v>
      </c>
      <c r="AF610" s="156">
        <f t="shared" si="207"/>
        <v>0</v>
      </c>
      <c r="AG610" s="156">
        <f t="shared" si="207"/>
        <v>0</v>
      </c>
      <c r="AH610" s="156">
        <f t="shared" si="207"/>
        <v>0</v>
      </c>
      <c r="AI610" s="156">
        <f t="shared" si="207"/>
        <v>0</v>
      </c>
      <c r="AJ610" s="156">
        <f t="shared" ref="AJ610:BO610" si="208">Opening_year_AMI_cost*Opening_year_mask</f>
        <v>0</v>
      </c>
      <c r="AK610" s="156">
        <f t="shared" si="208"/>
        <v>0</v>
      </c>
      <c r="AL610" s="156">
        <f t="shared" si="208"/>
        <v>0</v>
      </c>
      <c r="AM610" s="156">
        <f t="shared" si="208"/>
        <v>0</v>
      </c>
      <c r="AN610" s="156">
        <f t="shared" si="208"/>
        <v>0</v>
      </c>
      <c r="AO610" s="156">
        <f t="shared" si="208"/>
        <v>0</v>
      </c>
      <c r="AP610" s="156">
        <f t="shared" si="208"/>
        <v>0</v>
      </c>
      <c r="AQ610" s="156">
        <f t="shared" si="208"/>
        <v>0</v>
      </c>
      <c r="AR610" s="156">
        <f t="shared" si="208"/>
        <v>0</v>
      </c>
      <c r="AS610" s="156">
        <f t="shared" si="208"/>
        <v>0</v>
      </c>
      <c r="AT610" s="156">
        <f t="shared" si="208"/>
        <v>0</v>
      </c>
      <c r="AU610" s="156">
        <f t="shared" si="208"/>
        <v>0</v>
      </c>
      <c r="AV610" s="156">
        <f t="shared" si="208"/>
        <v>0</v>
      </c>
      <c r="AW610" s="156">
        <f t="shared" si="208"/>
        <v>0</v>
      </c>
      <c r="AX610" s="156">
        <f t="shared" si="208"/>
        <v>0</v>
      </c>
      <c r="AY610" s="156">
        <f t="shared" si="208"/>
        <v>0</v>
      </c>
      <c r="AZ610" s="156">
        <f t="shared" si="208"/>
        <v>0</v>
      </c>
      <c r="BA610" s="156">
        <f t="shared" si="208"/>
        <v>0</v>
      </c>
      <c r="BB610" s="156">
        <f t="shared" si="208"/>
        <v>0</v>
      </c>
      <c r="BC610" s="156">
        <f t="shared" si="208"/>
        <v>0</v>
      </c>
      <c r="BD610" s="156">
        <f t="shared" si="208"/>
        <v>0</v>
      </c>
      <c r="BE610" s="156">
        <f t="shared" si="208"/>
        <v>0</v>
      </c>
      <c r="BF610" s="156">
        <f t="shared" si="208"/>
        <v>0</v>
      </c>
      <c r="BG610" s="156">
        <f t="shared" si="208"/>
        <v>0</v>
      </c>
      <c r="BH610" s="156">
        <f t="shared" si="208"/>
        <v>0</v>
      </c>
      <c r="BI610" s="156">
        <f t="shared" si="208"/>
        <v>0</v>
      </c>
      <c r="BJ610" s="156">
        <f t="shared" si="208"/>
        <v>0</v>
      </c>
      <c r="BK610" s="156">
        <f t="shared" si="208"/>
        <v>0</v>
      </c>
      <c r="BL610" s="156">
        <f t="shared" si="208"/>
        <v>0</v>
      </c>
      <c r="BM610" s="156">
        <f t="shared" si="208"/>
        <v>0</v>
      </c>
      <c r="BN610" s="156">
        <f t="shared" si="208"/>
        <v>0</v>
      </c>
      <c r="BO610" s="156">
        <f t="shared" si="208"/>
        <v>0</v>
      </c>
      <c r="BP610" s="156">
        <f t="shared" ref="BP610:CP610" si="209">Opening_year_AMI_cost*Opening_year_mask</f>
        <v>0</v>
      </c>
      <c r="BQ610" s="156">
        <f t="shared" si="209"/>
        <v>0</v>
      </c>
      <c r="BR610" s="156">
        <f t="shared" si="209"/>
        <v>0</v>
      </c>
      <c r="BS610" s="156">
        <f t="shared" si="209"/>
        <v>0</v>
      </c>
      <c r="BT610" s="156">
        <f t="shared" si="209"/>
        <v>0</v>
      </c>
      <c r="BU610" s="156">
        <f t="shared" si="209"/>
        <v>0</v>
      </c>
      <c r="BV610" s="156">
        <f t="shared" si="209"/>
        <v>0</v>
      </c>
      <c r="BW610" s="156">
        <f t="shared" si="209"/>
        <v>0</v>
      </c>
      <c r="BX610" s="156">
        <f t="shared" si="209"/>
        <v>0</v>
      </c>
      <c r="BY610" s="156">
        <f t="shared" si="209"/>
        <v>0</v>
      </c>
      <c r="BZ610" s="156">
        <f t="shared" si="209"/>
        <v>0</v>
      </c>
      <c r="CA610" s="156">
        <f t="shared" si="209"/>
        <v>0</v>
      </c>
      <c r="CB610" s="156">
        <f t="shared" si="209"/>
        <v>0</v>
      </c>
      <c r="CC610" s="156">
        <f t="shared" si="209"/>
        <v>0</v>
      </c>
      <c r="CD610" s="156">
        <f t="shared" si="209"/>
        <v>0</v>
      </c>
      <c r="CE610" s="156">
        <f t="shared" si="209"/>
        <v>0</v>
      </c>
      <c r="CF610" s="156">
        <f t="shared" si="209"/>
        <v>0</v>
      </c>
      <c r="CG610" s="156">
        <f t="shared" si="209"/>
        <v>0</v>
      </c>
      <c r="CH610" s="156">
        <f t="shared" si="209"/>
        <v>0</v>
      </c>
      <c r="CI610" s="156">
        <f t="shared" si="209"/>
        <v>0</v>
      </c>
      <c r="CJ610" s="156">
        <f t="shared" si="209"/>
        <v>0</v>
      </c>
      <c r="CK610" s="156">
        <f t="shared" si="209"/>
        <v>0</v>
      </c>
      <c r="CL610" s="156">
        <f t="shared" si="209"/>
        <v>0</v>
      </c>
      <c r="CM610" s="156">
        <f t="shared" si="209"/>
        <v>0</v>
      </c>
      <c r="CN610" s="156">
        <f t="shared" si="209"/>
        <v>0</v>
      </c>
      <c r="CO610" s="156">
        <f t="shared" si="209"/>
        <v>0</v>
      </c>
      <c r="CP610" s="156">
        <f t="shared" si="209"/>
        <v>0</v>
      </c>
      <c r="CQ610" s="28" t="s">
        <v>443</v>
      </c>
    </row>
    <row r="611" spans="1:95" s="8" customFormat="1" ht="15" hidden="1" outlineLevel="2" x14ac:dyDescent="0.25">
      <c r="A611" s="89"/>
      <c r="B611" s="89" t="s">
        <v>5</v>
      </c>
      <c r="C611" s="89"/>
      <c r="D611" s="156">
        <f t="shared" ref="D611:AI611" si="210">Forecast_year_AMI_cost*Forecast_year_mask</f>
        <v>0</v>
      </c>
      <c r="E611" s="156">
        <f t="shared" si="210"/>
        <v>0</v>
      </c>
      <c r="F611" s="156">
        <f t="shared" si="210"/>
        <v>0</v>
      </c>
      <c r="G611" s="156">
        <f t="shared" si="210"/>
        <v>0</v>
      </c>
      <c r="H611" s="156">
        <f t="shared" si="210"/>
        <v>0</v>
      </c>
      <c r="I611" s="156">
        <f t="shared" si="210"/>
        <v>0</v>
      </c>
      <c r="J611" s="156">
        <f t="shared" si="210"/>
        <v>0</v>
      </c>
      <c r="K611" s="156">
        <f t="shared" si="210"/>
        <v>0</v>
      </c>
      <c r="L611" s="156">
        <f t="shared" si="210"/>
        <v>0</v>
      </c>
      <c r="M611" s="156">
        <f t="shared" si="210"/>
        <v>0</v>
      </c>
      <c r="N611" s="156">
        <f t="shared" si="210"/>
        <v>0</v>
      </c>
      <c r="O611" s="156">
        <f t="shared" si="210"/>
        <v>0</v>
      </c>
      <c r="P611" s="156">
        <f t="shared" si="210"/>
        <v>0</v>
      </c>
      <c r="Q611" s="156">
        <f t="shared" si="210"/>
        <v>0</v>
      </c>
      <c r="R611" s="156">
        <f t="shared" si="210"/>
        <v>0</v>
      </c>
      <c r="S611" s="156">
        <f t="shared" si="210"/>
        <v>0</v>
      </c>
      <c r="T611" s="156">
        <f t="shared" si="210"/>
        <v>0</v>
      </c>
      <c r="U611" s="156">
        <f t="shared" si="210"/>
        <v>0</v>
      </c>
      <c r="V611" s="156">
        <f t="shared" si="210"/>
        <v>0</v>
      </c>
      <c r="W611" s="156">
        <f t="shared" si="210"/>
        <v>0</v>
      </c>
      <c r="X611" s="156">
        <f t="shared" si="210"/>
        <v>0</v>
      </c>
      <c r="Y611" s="156">
        <f t="shared" si="210"/>
        <v>0</v>
      </c>
      <c r="Z611" s="156">
        <f t="shared" si="210"/>
        <v>0</v>
      </c>
      <c r="AA611" s="156">
        <f t="shared" si="210"/>
        <v>0</v>
      </c>
      <c r="AB611" s="156">
        <f t="shared" si="210"/>
        <v>0</v>
      </c>
      <c r="AC611" s="156">
        <f t="shared" si="210"/>
        <v>0</v>
      </c>
      <c r="AD611" s="156">
        <f t="shared" si="210"/>
        <v>-17170.255135074738</v>
      </c>
      <c r="AE611" s="156">
        <f t="shared" si="210"/>
        <v>0</v>
      </c>
      <c r="AF611" s="156">
        <f t="shared" si="210"/>
        <v>0</v>
      </c>
      <c r="AG611" s="156">
        <f t="shared" si="210"/>
        <v>0</v>
      </c>
      <c r="AH611" s="156">
        <f t="shared" si="210"/>
        <v>0</v>
      </c>
      <c r="AI611" s="156">
        <f t="shared" si="210"/>
        <v>0</v>
      </c>
      <c r="AJ611" s="156">
        <f t="shared" ref="AJ611:BO611" si="211">Forecast_year_AMI_cost*Forecast_year_mask</f>
        <v>0</v>
      </c>
      <c r="AK611" s="156">
        <f t="shared" si="211"/>
        <v>0</v>
      </c>
      <c r="AL611" s="156">
        <f t="shared" si="211"/>
        <v>0</v>
      </c>
      <c r="AM611" s="156">
        <f t="shared" si="211"/>
        <v>0</v>
      </c>
      <c r="AN611" s="156">
        <f t="shared" si="211"/>
        <v>0</v>
      </c>
      <c r="AO611" s="156">
        <f t="shared" si="211"/>
        <v>0</v>
      </c>
      <c r="AP611" s="156">
        <f t="shared" si="211"/>
        <v>0</v>
      </c>
      <c r="AQ611" s="156">
        <f t="shared" si="211"/>
        <v>0</v>
      </c>
      <c r="AR611" s="156">
        <f t="shared" si="211"/>
        <v>0</v>
      </c>
      <c r="AS611" s="156">
        <f t="shared" si="211"/>
        <v>0</v>
      </c>
      <c r="AT611" s="156">
        <f t="shared" si="211"/>
        <v>0</v>
      </c>
      <c r="AU611" s="156">
        <f t="shared" si="211"/>
        <v>0</v>
      </c>
      <c r="AV611" s="156">
        <f t="shared" si="211"/>
        <v>0</v>
      </c>
      <c r="AW611" s="156">
        <f t="shared" si="211"/>
        <v>0</v>
      </c>
      <c r="AX611" s="156">
        <f t="shared" si="211"/>
        <v>0</v>
      </c>
      <c r="AY611" s="156">
        <f t="shared" si="211"/>
        <v>0</v>
      </c>
      <c r="AZ611" s="156">
        <f t="shared" si="211"/>
        <v>0</v>
      </c>
      <c r="BA611" s="156">
        <f t="shared" si="211"/>
        <v>0</v>
      </c>
      <c r="BB611" s="156">
        <f t="shared" si="211"/>
        <v>0</v>
      </c>
      <c r="BC611" s="156">
        <f t="shared" si="211"/>
        <v>0</v>
      </c>
      <c r="BD611" s="156">
        <f t="shared" si="211"/>
        <v>0</v>
      </c>
      <c r="BE611" s="156">
        <f t="shared" si="211"/>
        <v>0</v>
      </c>
      <c r="BF611" s="156">
        <f t="shared" si="211"/>
        <v>0</v>
      </c>
      <c r="BG611" s="156">
        <f t="shared" si="211"/>
        <v>0</v>
      </c>
      <c r="BH611" s="156">
        <f t="shared" si="211"/>
        <v>0</v>
      </c>
      <c r="BI611" s="156">
        <f t="shared" si="211"/>
        <v>0</v>
      </c>
      <c r="BJ611" s="156">
        <f t="shared" si="211"/>
        <v>0</v>
      </c>
      <c r="BK611" s="156">
        <f t="shared" si="211"/>
        <v>0</v>
      </c>
      <c r="BL611" s="156">
        <f t="shared" si="211"/>
        <v>0</v>
      </c>
      <c r="BM611" s="156">
        <f t="shared" si="211"/>
        <v>0</v>
      </c>
      <c r="BN611" s="156">
        <f t="shared" si="211"/>
        <v>0</v>
      </c>
      <c r="BO611" s="156">
        <f t="shared" si="211"/>
        <v>0</v>
      </c>
      <c r="BP611" s="156">
        <f t="shared" ref="BP611:CP611" si="212">Forecast_year_AMI_cost*Forecast_year_mask</f>
        <v>0</v>
      </c>
      <c r="BQ611" s="156">
        <f t="shared" si="212"/>
        <v>0</v>
      </c>
      <c r="BR611" s="156">
        <f t="shared" si="212"/>
        <v>0</v>
      </c>
      <c r="BS611" s="156">
        <f t="shared" si="212"/>
        <v>0</v>
      </c>
      <c r="BT611" s="156">
        <f t="shared" si="212"/>
        <v>0</v>
      </c>
      <c r="BU611" s="156">
        <f t="shared" si="212"/>
        <v>0</v>
      </c>
      <c r="BV611" s="156">
        <f t="shared" si="212"/>
        <v>0</v>
      </c>
      <c r="BW611" s="156">
        <f t="shared" si="212"/>
        <v>0</v>
      </c>
      <c r="BX611" s="156">
        <f t="shared" si="212"/>
        <v>0</v>
      </c>
      <c r="BY611" s="156">
        <f t="shared" si="212"/>
        <v>0</v>
      </c>
      <c r="BZ611" s="156">
        <f t="shared" si="212"/>
        <v>0</v>
      </c>
      <c r="CA611" s="156">
        <f t="shared" si="212"/>
        <v>0</v>
      </c>
      <c r="CB611" s="156">
        <f t="shared" si="212"/>
        <v>0</v>
      </c>
      <c r="CC611" s="156">
        <f t="shared" si="212"/>
        <v>0</v>
      </c>
      <c r="CD611" s="156">
        <f t="shared" si="212"/>
        <v>0</v>
      </c>
      <c r="CE611" s="156">
        <f t="shared" si="212"/>
        <v>0</v>
      </c>
      <c r="CF611" s="156">
        <f t="shared" si="212"/>
        <v>0</v>
      </c>
      <c r="CG611" s="156">
        <f t="shared" si="212"/>
        <v>0</v>
      </c>
      <c r="CH611" s="156">
        <f t="shared" si="212"/>
        <v>0</v>
      </c>
      <c r="CI611" s="156">
        <f t="shared" si="212"/>
        <v>0</v>
      </c>
      <c r="CJ611" s="156">
        <f t="shared" si="212"/>
        <v>0</v>
      </c>
      <c r="CK611" s="156">
        <f t="shared" si="212"/>
        <v>0</v>
      </c>
      <c r="CL611" s="156">
        <f t="shared" si="212"/>
        <v>0</v>
      </c>
      <c r="CM611" s="156">
        <f t="shared" si="212"/>
        <v>0</v>
      </c>
      <c r="CN611" s="156">
        <f t="shared" si="212"/>
        <v>0</v>
      </c>
      <c r="CO611" s="156">
        <f t="shared" si="212"/>
        <v>0</v>
      </c>
      <c r="CP611" s="156">
        <f t="shared" si="212"/>
        <v>0</v>
      </c>
      <c r="CQ611" s="28" t="s">
        <v>444</v>
      </c>
    </row>
    <row r="612" spans="1:95" s="8" customFormat="1" ht="15" hidden="1" outlineLevel="2" x14ac:dyDescent="0.25">
      <c r="A612" s="89"/>
      <c r="B612" s="89" t="s">
        <v>414</v>
      </c>
      <c r="C612" s="89"/>
      <c r="D612" s="156">
        <f t="shared" ref="D612:AI612" si="213">(Opening_year_AMI_cost+(Difference_AMI_cost)*(year-Opening_year)/(Forecast_and_opening_year_difference))*Interpolation_mask</f>
        <v>0</v>
      </c>
      <c r="E612" s="156">
        <f t="shared" si="213"/>
        <v>0</v>
      </c>
      <c r="F612" s="156">
        <f t="shared" si="213"/>
        <v>0</v>
      </c>
      <c r="G612" s="156">
        <f t="shared" si="213"/>
        <v>0</v>
      </c>
      <c r="H612" s="156">
        <f t="shared" si="213"/>
        <v>0</v>
      </c>
      <c r="I612" s="156">
        <f t="shared" si="213"/>
        <v>0</v>
      </c>
      <c r="J612" s="156">
        <f t="shared" si="213"/>
        <v>0</v>
      </c>
      <c r="K612" s="156">
        <f t="shared" si="213"/>
        <v>0</v>
      </c>
      <c r="L612" s="156">
        <f t="shared" si="213"/>
        <v>0</v>
      </c>
      <c r="M612" s="156">
        <f t="shared" si="213"/>
        <v>0</v>
      </c>
      <c r="N612" s="156">
        <f t="shared" si="213"/>
        <v>0</v>
      </c>
      <c r="O612" s="156">
        <f t="shared" si="213"/>
        <v>0</v>
      </c>
      <c r="P612" s="156">
        <f t="shared" si="213"/>
        <v>0</v>
      </c>
      <c r="Q612" s="156">
        <f t="shared" si="213"/>
        <v>0</v>
      </c>
      <c r="R612" s="156">
        <f t="shared" si="213"/>
        <v>0</v>
      </c>
      <c r="S612" s="156">
        <f t="shared" si="213"/>
        <v>0</v>
      </c>
      <c r="T612" s="156">
        <f t="shared" si="213"/>
        <v>0</v>
      </c>
      <c r="U612" s="156">
        <f t="shared" si="213"/>
        <v>-19652.650688020767</v>
      </c>
      <c r="V612" s="156">
        <f t="shared" si="213"/>
        <v>-19376.828959915652</v>
      </c>
      <c r="W612" s="156">
        <f t="shared" si="213"/>
        <v>-19101.007231810538</v>
      </c>
      <c r="X612" s="156">
        <f t="shared" si="213"/>
        <v>-18825.185503705423</v>
      </c>
      <c r="Y612" s="156">
        <f t="shared" si="213"/>
        <v>-18549.363775600308</v>
      </c>
      <c r="Z612" s="156">
        <f t="shared" si="213"/>
        <v>-18273.542047495197</v>
      </c>
      <c r="AA612" s="156">
        <f t="shared" si="213"/>
        <v>-17997.720319390082</v>
      </c>
      <c r="AB612" s="156">
        <f t="shared" si="213"/>
        <v>-17721.898591284968</v>
      </c>
      <c r="AC612" s="156">
        <f t="shared" si="213"/>
        <v>-17446.076863179853</v>
      </c>
      <c r="AD612" s="156">
        <f t="shared" si="213"/>
        <v>0</v>
      </c>
      <c r="AE612" s="156">
        <f t="shared" si="213"/>
        <v>0</v>
      </c>
      <c r="AF612" s="156">
        <f t="shared" si="213"/>
        <v>0</v>
      </c>
      <c r="AG612" s="156">
        <f t="shared" si="213"/>
        <v>0</v>
      </c>
      <c r="AH612" s="156">
        <f t="shared" si="213"/>
        <v>0</v>
      </c>
      <c r="AI612" s="156">
        <f t="shared" si="213"/>
        <v>0</v>
      </c>
      <c r="AJ612" s="156">
        <f t="shared" ref="AJ612:BO612" si="214">(Opening_year_AMI_cost+(Difference_AMI_cost)*(year-Opening_year)/(Forecast_and_opening_year_difference))*Interpolation_mask</f>
        <v>0</v>
      </c>
      <c r="AK612" s="156">
        <f t="shared" si="214"/>
        <v>0</v>
      </c>
      <c r="AL612" s="156">
        <f t="shared" si="214"/>
        <v>0</v>
      </c>
      <c r="AM612" s="156">
        <f t="shared" si="214"/>
        <v>0</v>
      </c>
      <c r="AN612" s="156">
        <f t="shared" si="214"/>
        <v>0</v>
      </c>
      <c r="AO612" s="156">
        <f t="shared" si="214"/>
        <v>0</v>
      </c>
      <c r="AP612" s="156">
        <f t="shared" si="214"/>
        <v>0</v>
      </c>
      <c r="AQ612" s="156">
        <f t="shared" si="214"/>
        <v>0</v>
      </c>
      <c r="AR612" s="156">
        <f t="shared" si="214"/>
        <v>0</v>
      </c>
      <c r="AS612" s="156">
        <f t="shared" si="214"/>
        <v>0</v>
      </c>
      <c r="AT612" s="156">
        <f t="shared" si="214"/>
        <v>0</v>
      </c>
      <c r="AU612" s="156">
        <f t="shared" si="214"/>
        <v>0</v>
      </c>
      <c r="AV612" s="156">
        <f t="shared" si="214"/>
        <v>0</v>
      </c>
      <c r="AW612" s="156">
        <f t="shared" si="214"/>
        <v>0</v>
      </c>
      <c r="AX612" s="156">
        <f t="shared" si="214"/>
        <v>0</v>
      </c>
      <c r="AY612" s="156">
        <f t="shared" si="214"/>
        <v>0</v>
      </c>
      <c r="AZ612" s="156">
        <f t="shared" si="214"/>
        <v>0</v>
      </c>
      <c r="BA612" s="156">
        <f t="shared" si="214"/>
        <v>0</v>
      </c>
      <c r="BB612" s="156">
        <f t="shared" si="214"/>
        <v>0</v>
      </c>
      <c r="BC612" s="156">
        <f t="shared" si="214"/>
        <v>0</v>
      </c>
      <c r="BD612" s="156">
        <f t="shared" si="214"/>
        <v>0</v>
      </c>
      <c r="BE612" s="156">
        <f t="shared" si="214"/>
        <v>0</v>
      </c>
      <c r="BF612" s="156">
        <f t="shared" si="214"/>
        <v>0</v>
      </c>
      <c r="BG612" s="156">
        <f t="shared" si="214"/>
        <v>0</v>
      </c>
      <c r="BH612" s="156">
        <f t="shared" si="214"/>
        <v>0</v>
      </c>
      <c r="BI612" s="156">
        <f t="shared" si="214"/>
        <v>0</v>
      </c>
      <c r="BJ612" s="156">
        <f t="shared" si="214"/>
        <v>0</v>
      </c>
      <c r="BK612" s="156">
        <f t="shared" si="214"/>
        <v>0</v>
      </c>
      <c r="BL612" s="156">
        <f t="shared" si="214"/>
        <v>0</v>
      </c>
      <c r="BM612" s="156">
        <f t="shared" si="214"/>
        <v>0</v>
      </c>
      <c r="BN612" s="156">
        <f t="shared" si="214"/>
        <v>0</v>
      </c>
      <c r="BO612" s="156">
        <f t="shared" si="214"/>
        <v>0</v>
      </c>
      <c r="BP612" s="156">
        <f t="shared" ref="BP612:CP612" si="215">(Opening_year_AMI_cost+(Difference_AMI_cost)*(year-Opening_year)/(Forecast_and_opening_year_difference))*Interpolation_mask</f>
        <v>0</v>
      </c>
      <c r="BQ612" s="156">
        <f t="shared" si="215"/>
        <v>0</v>
      </c>
      <c r="BR612" s="156">
        <f t="shared" si="215"/>
        <v>0</v>
      </c>
      <c r="BS612" s="156">
        <f t="shared" si="215"/>
        <v>0</v>
      </c>
      <c r="BT612" s="156">
        <f t="shared" si="215"/>
        <v>0</v>
      </c>
      <c r="BU612" s="156">
        <f t="shared" si="215"/>
        <v>0</v>
      </c>
      <c r="BV612" s="156">
        <f t="shared" si="215"/>
        <v>0</v>
      </c>
      <c r="BW612" s="156">
        <f t="shared" si="215"/>
        <v>0</v>
      </c>
      <c r="BX612" s="156">
        <f t="shared" si="215"/>
        <v>0</v>
      </c>
      <c r="BY612" s="156">
        <f t="shared" si="215"/>
        <v>0</v>
      </c>
      <c r="BZ612" s="156">
        <f t="shared" si="215"/>
        <v>0</v>
      </c>
      <c r="CA612" s="156">
        <f t="shared" si="215"/>
        <v>0</v>
      </c>
      <c r="CB612" s="156">
        <f t="shared" si="215"/>
        <v>0</v>
      </c>
      <c r="CC612" s="156">
        <f t="shared" si="215"/>
        <v>0</v>
      </c>
      <c r="CD612" s="156">
        <f t="shared" si="215"/>
        <v>0</v>
      </c>
      <c r="CE612" s="156">
        <f t="shared" si="215"/>
        <v>0</v>
      </c>
      <c r="CF612" s="156">
        <f t="shared" si="215"/>
        <v>0</v>
      </c>
      <c r="CG612" s="156">
        <f t="shared" si="215"/>
        <v>0</v>
      </c>
      <c r="CH612" s="156">
        <f t="shared" si="215"/>
        <v>0</v>
      </c>
      <c r="CI612" s="156">
        <f t="shared" si="215"/>
        <v>0</v>
      </c>
      <c r="CJ612" s="156">
        <f t="shared" si="215"/>
        <v>0</v>
      </c>
      <c r="CK612" s="156">
        <f t="shared" si="215"/>
        <v>0</v>
      </c>
      <c r="CL612" s="156">
        <f t="shared" si="215"/>
        <v>0</v>
      </c>
      <c r="CM612" s="156">
        <f t="shared" si="215"/>
        <v>0</v>
      </c>
      <c r="CN612" s="156">
        <f t="shared" si="215"/>
        <v>0</v>
      </c>
      <c r="CO612" s="156">
        <f t="shared" si="215"/>
        <v>0</v>
      </c>
      <c r="CP612" s="156">
        <f t="shared" si="215"/>
        <v>0</v>
      </c>
      <c r="CQ612" s="28" t="s">
        <v>445</v>
      </c>
    </row>
    <row r="613" spans="1:95" s="8" customFormat="1" ht="15" hidden="1" outlineLevel="2" x14ac:dyDescent="0.25">
      <c r="A613" s="89"/>
      <c r="B613" s="89" t="s">
        <v>416</v>
      </c>
      <c r="C613" s="89"/>
      <c r="D613" s="156">
        <f t="shared" ref="D613:AI613" si="216">Forecast_year_AMI_cost*Extrapolation_mask</f>
        <v>0</v>
      </c>
      <c r="E613" s="156">
        <f t="shared" si="216"/>
        <v>0</v>
      </c>
      <c r="F613" s="156">
        <f t="shared" si="216"/>
        <v>0</v>
      </c>
      <c r="G613" s="156">
        <f t="shared" si="216"/>
        <v>0</v>
      </c>
      <c r="H613" s="156">
        <f t="shared" si="216"/>
        <v>0</v>
      </c>
      <c r="I613" s="156">
        <f t="shared" si="216"/>
        <v>0</v>
      </c>
      <c r="J613" s="156">
        <f t="shared" si="216"/>
        <v>0</v>
      </c>
      <c r="K613" s="156">
        <f t="shared" si="216"/>
        <v>0</v>
      </c>
      <c r="L613" s="156">
        <f t="shared" si="216"/>
        <v>0</v>
      </c>
      <c r="M613" s="156">
        <f t="shared" si="216"/>
        <v>0</v>
      </c>
      <c r="N613" s="156">
        <f t="shared" si="216"/>
        <v>0</v>
      </c>
      <c r="O613" s="156">
        <f t="shared" si="216"/>
        <v>0</v>
      </c>
      <c r="P613" s="156">
        <f t="shared" si="216"/>
        <v>0</v>
      </c>
      <c r="Q613" s="156">
        <f t="shared" si="216"/>
        <v>0</v>
      </c>
      <c r="R613" s="156">
        <f t="shared" si="216"/>
        <v>0</v>
      </c>
      <c r="S613" s="156">
        <f t="shared" si="216"/>
        <v>0</v>
      </c>
      <c r="T613" s="156">
        <f t="shared" si="216"/>
        <v>0</v>
      </c>
      <c r="U613" s="156">
        <f t="shared" si="216"/>
        <v>0</v>
      </c>
      <c r="V613" s="156">
        <f t="shared" si="216"/>
        <v>0</v>
      </c>
      <c r="W613" s="156">
        <f t="shared" si="216"/>
        <v>0</v>
      </c>
      <c r="X613" s="156">
        <f t="shared" si="216"/>
        <v>0</v>
      </c>
      <c r="Y613" s="156">
        <f t="shared" si="216"/>
        <v>0</v>
      </c>
      <c r="Z613" s="156">
        <f t="shared" si="216"/>
        <v>0</v>
      </c>
      <c r="AA613" s="156">
        <f t="shared" si="216"/>
        <v>0</v>
      </c>
      <c r="AB613" s="156">
        <f t="shared" si="216"/>
        <v>0</v>
      </c>
      <c r="AC613" s="156">
        <f t="shared" si="216"/>
        <v>0</v>
      </c>
      <c r="AD613" s="156">
        <f t="shared" si="216"/>
        <v>0</v>
      </c>
      <c r="AE613" s="156">
        <f t="shared" si="216"/>
        <v>-17170.255135074738</v>
      </c>
      <c r="AF613" s="156">
        <f t="shared" si="216"/>
        <v>-17170.255135074738</v>
      </c>
      <c r="AG613" s="156">
        <f t="shared" si="216"/>
        <v>-17170.255135074738</v>
      </c>
      <c r="AH613" s="156">
        <f t="shared" si="216"/>
        <v>-17170.255135074738</v>
      </c>
      <c r="AI613" s="156">
        <f t="shared" si="216"/>
        <v>-17170.255135074738</v>
      </c>
      <c r="AJ613" s="156">
        <f t="shared" ref="AJ613:BO613" si="217">Forecast_year_AMI_cost*Extrapolation_mask</f>
        <v>-17170.255135074738</v>
      </c>
      <c r="AK613" s="156">
        <f t="shared" si="217"/>
        <v>-17170.255135074738</v>
      </c>
      <c r="AL613" s="156">
        <f t="shared" si="217"/>
        <v>-17170.255135074738</v>
      </c>
      <c r="AM613" s="156">
        <f t="shared" si="217"/>
        <v>-17170.255135074738</v>
      </c>
      <c r="AN613" s="156">
        <f t="shared" si="217"/>
        <v>-17170.255135074738</v>
      </c>
      <c r="AO613" s="156">
        <f t="shared" si="217"/>
        <v>-17170.255135074738</v>
      </c>
      <c r="AP613" s="156">
        <f t="shared" si="217"/>
        <v>-17170.255135074738</v>
      </c>
      <c r="AQ613" s="156">
        <f t="shared" si="217"/>
        <v>-17170.255135074738</v>
      </c>
      <c r="AR613" s="156">
        <f t="shared" si="217"/>
        <v>-17170.255135074738</v>
      </c>
      <c r="AS613" s="156">
        <f t="shared" si="217"/>
        <v>-17170.255135074738</v>
      </c>
      <c r="AT613" s="156">
        <f t="shared" si="217"/>
        <v>-17170.255135074738</v>
      </c>
      <c r="AU613" s="156">
        <f t="shared" si="217"/>
        <v>-17170.255135074738</v>
      </c>
      <c r="AV613" s="156">
        <f t="shared" si="217"/>
        <v>-17170.255135074738</v>
      </c>
      <c r="AW613" s="156">
        <f t="shared" si="217"/>
        <v>-17170.255135074738</v>
      </c>
      <c r="AX613" s="156">
        <f t="shared" si="217"/>
        <v>-17170.255135074738</v>
      </c>
      <c r="AY613" s="156">
        <f t="shared" si="217"/>
        <v>-17170.255135074738</v>
      </c>
      <c r="AZ613" s="156">
        <f t="shared" si="217"/>
        <v>-17170.255135074738</v>
      </c>
      <c r="BA613" s="156">
        <f t="shared" si="217"/>
        <v>-17170.255135074738</v>
      </c>
      <c r="BB613" s="156">
        <f t="shared" si="217"/>
        <v>-17170.255135074738</v>
      </c>
      <c r="BC613" s="156">
        <f t="shared" si="217"/>
        <v>-17170.255135074738</v>
      </c>
      <c r="BD613" s="156">
        <f t="shared" si="217"/>
        <v>-17170.255135074738</v>
      </c>
      <c r="BE613" s="156">
        <f t="shared" si="217"/>
        <v>-17170.255135074738</v>
      </c>
      <c r="BF613" s="156">
        <f t="shared" si="217"/>
        <v>-17170.255135074738</v>
      </c>
      <c r="BG613" s="156">
        <f t="shared" si="217"/>
        <v>-17170.255135074738</v>
      </c>
      <c r="BH613" s="156">
        <f t="shared" si="217"/>
        <v>-17170.255135074738</v>
      </c>
      <c r="BI613" s="156">
        <f t="shared" si="217"/>
        <v>-17170.255135074738</v>
      </c>
      <c r="BJ613" s="156">
        <f t="shared" si="217"/>
        <v>-17170.255135074738</v>
      </c>
      <c r="BK613" s="156">
        <f t="shared" si="217"/>
        <v>-17170.255135074738</v>
      </c>
      <c r="BL613" s="156">
        <f t="shared" si="217"/>
        <v>-17170.255135074738</v>
      </c>
      <c r="BM613" s="156">
        <f t="shared" si="217"/>
        <v>-17170.255135074738</v>
      </c>
      <c r="BN613" s="156">
        <f t="shared" si="217"/>
        <v>-17170.255135074738</v>
      </c>
      <c r="BO613" s="156">
        <f t="shared" si="217"/>
        <v>-17170.255135074738</v>
      </c>
      <c r="BP613" s="156">
        <f t="shared" ref="BP613:CP613" si="218">Forecast_year_AMI_cost*Extrapolation_mask</f>
        <v>-17170.255135074738</v>
      </c>
      <c r="BQ613" s="156">
        <f t="shared" si="218"/>
        <v>-17170.255135074738</v>
      </c>
      <c r="BR613" s="156">
        <f t="shared" si="218"/>
        <v>-17170.255135074738</v>
      </c>
      <c r="BS613" s="156">
        <f t="shared" si="218"/>
        <v>-17170.255135074738</v>
      </c>
      <c r="BT613" s="156">
        <f t="shared" si="218"/>
        <v>-17170.255135074738</v>
      </c>
      <c r="BU613" s="156">
        <f t="shared" si="218"/>
        <v>-17170.255135074738</v>
      </c>
      <c r="BV613" s="156">
        <f t="shared" si="218"/>
        <v>-17170.255135074738</v>
      </c>
      <c r="BW613" s="156">
        <f t="shared" si="218"/>
        <v>-17170.255135074738</v>
      </c>
      <c r="BX613" s="156">
        <f t="shared" si="218"/>
        <v>-17170.255135074738</v>
      </c>
      <c r="BY613" s="156">
        <f t="shared" si="218"/>
        <v>-17170.255135074738</v>
      </c>
      <c r="BZ613" s="156">
        <f t="shared" si="218"/>
        <v>-17170.255135074738</v>
      </c>
      <c r="CA613" s="156">
        <f t="shared" si="218"/>
        <v>-17170.255135074738</v>
      </c>
      <c r="CB613" s="156">
        <f t="shared" si="218"/>
        <v>0</v>
      </c>
      <c r="CC613" s="156">
        <f t="shared" si="218"/>
        <v>0</v>
      </c>
      <c r="CD613" s="156">
        <f t="shared" si="218"/>
        <v>0</v>
      </c>
      <c r="CE613" s="156">
        <f t="shared" si="218"/>
        <v>0</v>
      </c>
      <c r="CF613" s="156">
        <f t="shared" si="218"/>
        <v>0</v>
      </c>
      <c r="CG613" s="156">
        <f t="shared" si="218"/>
        <v>0</v>
      </c>
      <c r="CH613" s="156">
        <f t="shared" si="218"/>
        <v>0</v>
      </c>
      <c r="CI613" s="156">
        <f t="shared" si="218"/>
        <v>0</v>
      </c>
      <c r="CJ613" s="156">
        <f t="shared" si="218"/>
        <v>0</v>
      </c>
      <c r="CK613" s="156">
        <f t="shared" si="218"/>
        <v>0</v>
      </c>
      <c r="CL613" s="156">
        <f t="shared" si="218"/>
        <v>0</v>
      </c>
      <c r="CM613" s="156">
        <f t="shared" si="218"/>
        <v>0</v>
      </c>
      <c r="CN613" s="156">
        <f t="shared" si="218"/>
        <v>0</v>
      </c>
      <c r="CO613" s="156">
        <f t="shared" si="218"/>
        <v>0</v>
      </c>
      <c r="CP613" s="156">
        <f t="shared" si="218"/>
        <v>0</v>
      </c>
      <c r="CQ613" s="28" t="s">
        <v>446</v>
      </c>
    </row>
    <row r="614" spans="1:95" s="8" customFormat="1" ht="15" hidden="1" outlineLevel="2" x14ac:dyDescent="0.25">
      <c r="A614" s="89"/>
      <c r="B614" s="89" t="s">
        <v>420</v>
      </c>
      <c r="C614" s="89"/>
      <c r="D614" s="156">
        <f t="shared" ref="D614:AI614" si="219">Opening_year_AMI_cost_mask+Forecast_year_AMI_cost_mask+Interpolation_AMI_cost_mask+Extrapolation_AMI_cost_mask</f>
        <v>0</v>
      </c>
      <c r="E614" s="156">
        <f t="shared" si="219"/>
        <v>0</v>
      </c>
      <c r="F614" s="156">
        <f t="shared" si="219"/>
        <v>0</v>
      </c>
      <c r="G614" s="156">
        <f t="shared" si="219"/>
        <v>0</v>
      </c>
      <c r="H614" s="156">
        <f t="shared" si="219"/>
        <v>0</v>
      </c>
      <c r="I614" s="156">
        <f t="shared" si="219"/>
        <v>0</v>
      </c>
      <c r="J614" s="156">
        <f t="shared" si="219"/>
        <v>0</v>
      </c>
      <c r="K614" s="156">
        <f t="shared" si="219"/>
        <v>0</v>
      </c>
      <c r="L614" s="156">
        <f t="shared" si="219"/>
        <v>0</v>
      </c>
      <c r="M614" s="156">
        <f t="shared" si="219"/>
        <v>0</v>
      </c>
      <c r="N614" s="156">
        <f t="shared" si="219"/>
        <v>0</v>
      </c>
      <c r="O614" s="156">
        <f t="shared" si="219"/>
        <v>0</v>
      </c>
      <c r="P614" s="156">
        <f t="shared" si="219"/>
        <v>0</v>
      </c>
      <c r="Q614" s="156">
        <f t="shared" si="219"/>
        <v>0</v>
      </c>
      <c r="R614" s="156">
        <f t="shared" si="219"/>
        <v>0</v>
      </c>
      <c r="S614" s="156">
        <f t="shared" si="219"/>
        <v>0</v>
      </c>
      <c r="T614" s="156">
        <f t="shared" si="219"/>
        <v>-19928.472416125882</v>
      </c>
      <c r="U614" s="156">
        <f t="shared" si="219"/>
        <v>-19652.650688020767</v>
      </c>
      <c r="V614" s="156">
        <f t="shared" si="219"/>
        <v>-19376.828959915652</v>
      </c>
      <c r="W614" s="156">
        <f t="shared" si="219"/>
        <v>-19101.007231810538</v>
      </c>
      <c r="X614" s="156">
        <f t="shared" si="219"/>
        <v>-18825.185503705423</v>
      </c>
      <c r="Y614" s="156">
        <f t="shared" si="219"/>
        <v>-18549.363775600308</v>
      </c>
      <c r="Z614" s="156">
        <f t="shared" si="219"/>
        <v>-18273.542047495197</v>
      </c>
      <c r="AA614" s="156">
        <f t="shared" si="219"/>
        <v>-17997.720319390082</v>
      </c>
      <c r="AB614" s="156">
        <f t="shared" si="219"/>
        <v>-17721.898591284968</v>
      </c>
      <c r="AC614" s="156">
        <f t="shared" si="219"/>
        <v>-17446.076863179853</v>
      </c>
      <c r="AD614" s="156">
        <f t="shared" si="219"/>
        <v>-17170.255135074738</v>
      </c>
      <c r="AE614" s="156">
        <f t="shared" si="219"/>
        <v>-17170.255135074738</v>
      </c>
      <c r="AF614" s="156">
        <f t="shared" si="219"/>
        <v>-17170.255135074738</v>
      </c>
      <c r="AG614" s="156">
        <f t="shared" si="219"/>
        <v>-17170.255135074738</v>
      </c>
      <c r="AH614" s="156">
        <f t="shared" si="219"/>
        <v>-17170.255135074738</v>
      </c>
      <c r="AI614" s="156">
        <f t="shared" si="219"/>
        <v>-17170.255135074738</v>
      </c>
      <c r="AJ614" s="156">
        <f t="shared" ref="AJ614:BO614" si="220">Opening_year_AMI_cost_mask+Forecast_year_AMI_cost_mask+Interpolation_AMI_cost_mask+Extrapolation_AMI_cost_mask</f>
        <v>-17170.255135074738</v>
      </c>
      <c r="AK614" s="156">
        <f t="shared" si="220"/>
        <v>-17170.255135074738</v>
      </c>
      <c r="AL614" s="156">
        <f t="shared" si="220"/>
        <v>-17170.255135074738</v>
      </c>
      <c r="AM614" s="156">
        <f t="shared" si="220"/>
        <v>-17170.255135074738</v>
      </c>
      <c r="AN614" s="156">
        <f t="shared" si="220"/>
        <v>-17170.255135074738</v>
      </c>
      <c r="AO614" s="156">
        <f t="shared" si="220"/>
        <v>-17170.255135074738</v>
      </c>
      <c r="AP614" s="156">
        <f t="shared" si="220"/>
        <v>-17170.255135074738</v>
      </c>
      <c r="AQ614" s="156">
        <f t="shared" si="220"/>
        <v>-17170.255135074738</v>
      </c>
      <c r="AR614" s="156">
        <f t="shared" si="220"/>
        <v>-17170.255135074738</v>
      </c>
      <c r="AS614" s="156">
        <f t="shared" si="220"/>
        <v>-17170.255135074738</v>
      </c>
      <c r="AT614" s="156">
        <f t="shared" si="220"/>
        <v>-17170.255135074738</v>
      </c>
      <c r="AU614" s="156">
        <f t="shared" si="220"/>
        <v>-17170.255135074738</v>
      </c>
      <c r="AV614" s="156">
        <f t="shared" si="220"/>
        <v>-17170.255135074738</v>
      </c>
      <c r="AW614" s="156">
        <f t="shared" si="220"/>
        <v>-17170.255135074738</v>
      </c>
      <c r="AX614" s="156">
        <f t="shared" si="220"/>
        <v>-17170.255135074738</v>
      </c>
      <c r="AY614" s="156">
        <f t="shared" si="220"/>
        <v>-17170.255135074738</v>
      </c>
      <c r="AZ614" s="156">
        <f t="shared" si="220"/>
        <v>-17170.255135074738</v>
      </c>
      <c r="BA614" s="156">
        <f t="shared" si="220"/>
        <v>-17170.255135074738</v>
      </c>
      <c r="BB614" s="156">
        <f t="shared" si="220"/>
        <v>-17170.255135074738</v>
      </c>
      <c r="BC614" s="156">
        <f t="shared" si="220"/>
        <v>-17170.255135074738</v>
      </c>
      <c r="BD614" s="156">
        <f t="shared" si="220"/>
        <v>-17170.255135074738</v>
      </c>
      <c r="BE614" s="156">
        <f t="shared" si="220"/>
        <v>-17170.255135074738</v>
      </c>
      <c r="BF614" s="156">
        <f t="shared" si="220"/>
        <v>-17170.255135074738</v>
      </c>
      <c r="BG614" s="156">
        <f t="shared" si="220"/>
        <v>-17170.255135074738</v>
      </c>
      <c r="BH614" s="156">
        <f t="shared" si="220"/>
        <v>-17170.255135074738</v>
      </c>
      <c r="BI614" s="156">
        <f t="shared" si="220"/>
        <v>-17170.255135074738</v>
      </c>
      <c r="BJ614" s="156">
        <f t="shared" si="220"/>
        <v>-17170.255135074738</v>
      </c>
      <c r="BK614" s="156">
        <f t="shared" si="220"/>
        <v>-17170.255135074738</v>
      </c>
      <c r="BL614" s="156">
        <f t="shared" si="220"/>
        <v>-17170.255135074738</v>
      </c>
      <c r="BM614" s="156">
        <f t="shared" si="220"/>
        <v>-17170.255135074738</v>
      </c>
      <c r="BN614" s="156">
        <f t="shared" si="220"/>
        <v>-17170.255135074738</v>
      </c>
      <c r="BO614" s="156">
        <f t="shared" si="220"/>
        <v>-17170.255135074738</v>
      </c>
      <c r="BP614" s="156">
        <f t="shared" ref="BP614:CP614" si="221">Opening_year_AMI_cost_mask+Forecast_year_AMI_cost_mask+Interpolation_AMI_cost_mask+Extrapolation_AMI_cost_mask</f>
        <v>-17170.255135074738</v>
      </c>
      <c r="BQ614" s="156">
        <f t="shared" si="221"/>
        <v>-17170.255135074738</v>
      </c>
      <c r="BR614" s="156">
        <f t="shared" si="221"/>
        <v>-17170.255135074738</v>
      </c>
      <c r="BS614" s="156">
        <f t="shared" si="221"/>
        <v>-17170.255135074738</v>
      </c>
      <c r="BT614" s="156">
        <f t="shared" si="221"/>
        <v>-17170.255135074738</v>
      </c>
      <c r="BU614" s="156">
        <f t="shared" si="221"/>
        <v>-17170.255135074738</v>
      </c>
      <c r="BV614" s="156">
        <f t="shared" si="221"/>
        <v>-17170.255135074738</v>
      </c>
      <c r="BW614" s="156">
        <f t="shared" si="221"/>
        <v>-17170.255135074738</v>
      </c>
      <c r="BX614" s="156">
        <f t="shared" si="221"/>
        <v>-17170.255135074738</v>
      </c>
      <c r="BY614" s="156">
        <f t="shared" si="221"/>
        <v>-17170.255135074738</v>
      </c>
      <c r="BZ614" s="156">
        <f t="shared" si="221"/>
        <v>-17170.255135074738</v>
      </c>
      <c r="CA614" s="156">
        <f t="shared" si="221"/>
        <v>-17170.255135074738</v>
      </c>
      <c r="CB614" s="156">
        <f t="shared" si="221"/>
        <v>0</v>
      </c>
      <c r="CC614" s="156">
        <f t="shared" si="221"/>
        <v>0</v>
      </c>
      <c r="CD614" s="156">
        <f t="shared" si="221"/>
        <v>0</v>
      </c>
      <c r="CE614" s="156">
        <f t="shared" si="221"/>
        <v>0</v>
      </c>
      <c r="CF614" s="156">
        <f t="shared" si="221"/>
        <v>0</v>
      </c>
      <c r="CG614" s="156">
        <f t="shared" si="221"/>
        <v>0</v>
      </c>
      <c r="CH614" s="156">
        <f t="shared" si="221"/>
        <v>0</v>
      </c>
      <c r="CI614" s="156">
        <f t="shared" si="221"/>
        <v>0</v>
      </c>
      <c r="CJ614" s="156">
        <f t="shared" si="221"/>
        <v>0</v>
      </c>
      <c r="CK614" s="156">
        <f t="shared" si="221"/>
        <v>0</v>
      </c>
      <c r="CL614" s="156">
        <f t="shared" si="221"/>
        <v>0</v>
      </c>
      <c r="CM614" s="156">
        <f t="shared" si="221"/>
        <v>0</v>
      </c>
      <c r="CN614" s="156">
        <f t="shared" si="221"/>
        <v>0</v>
      </c>
      <c r="CO614" s="156">
        <f t="shared" si="221"/>
        <v>0</v>
      </c>
      <c r="CP614" s="156">
        <f t="shared" si="221"/>
        <v>0</v>
      </c>
      <c r="CQ614" s="28" t="s">
        <v>447</v>
      </c>
    </row>
    <row r="615" spans="1:95" s="8" customFormat="1" ht="15" hidden="1" outlineLevel="2" x14ac:dyDescent="0.25">
      <c r="A615" s="89"/>
      <c r="B615" s="89"/>
      <c r="C615" s="89"/>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A615" s="157"/>
      <c r="BB615" s="157"/>
      <c r="BC615" s="157"/>
      <c r="BD615" s="157"/>
      <c r="BE615" s="157"/>
      <c r="BF615" s="157"/>
      <c r="BG615" s="157"/>
      <c r="BH615" s="157"/>
      <c r="BI615" s="157"/>
      <c r="BJ615" s="157"/>
      <c r="BK615" s="157"/>
      <c r="BL615" s="157"/>
      <c r="BM615" s="157"/>
      <c r="BN615" s="157"/>
      <c r="BO615" s="157"/>
      <c r="BP615" s="157"/>
      <c r="BQ615" s="157"/>
      <c r="BR615" s="157"/>
      <c r="BS615" s="157"/>
      <c r="BT615" s="157"/>
      <c r="BU615" s="157"/>
      <c r="BV615" s="157"/>
      <c r="BW615" s="157"/>
      <c r="BX615" s="157"/>
      <c r="BY615" s="157"/>
      <c r="BZ615" s="157"/>
      <c r="CA615" s="157"/>
      <c r="CB615" s="157"/>
      <c r="CC615" s="157"/>
      <c r="CD615" s="157"/>
      <c r="CE615" s="157"/>
      <c r="CF615" s="157"/>
      <c r="CG615" s="157"/>
      <c r="CH615" s="157"/>
      <c r="CI615" s="157"/>
      <c r="CJ615" s="157"/>
      <c r="CK615" s="157"/>
      <c r="CL615" s="157"/>
      <c r="CM615" s="157"/>
      <c r="CN615" s="157"/>
      <c r="CO615" s="157"/>
      <c r="CP615" s="157"/>
      <c r="CQ615" s="28"/>
    </row>
    <row r="616" spans="1:95" s="5" customFormat="1" ht="18.75" hidden="1" customHeight="1" outlineLevel="2" x14ac:dyDescent="0.25">
      <c r="B616" s="5" t="s">
        <v>448</v>
      </c>
    </row>
    <row r="617" spans="1:95" s="4" customFormat="1" ht="18.75" hidden="1" customHeight="1" outlineLevel="2" x14ac:dyDescent="0.3">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c r="AN617" s="93"/>
      <c r="AO617" s="93"/>
      <c r="AP617" s="93"/>
      <c r="AQ617" s="93"/>
      <c r="AR617" s="93"/>
      <c r="AS617" s="93"/>
      <c r="AT617" s="93"/>
      <c r="AU617" s="93"/>
      <c r="AV617" s="93"/>
      <c r="AW617" s="93"/>
      <c r="AX617" s="93"/>
      <c r="AY617" s="93"/>
      <c r="AZ617" s="93"/>
      <c r="BA617" s="93"/>
      <c r="BB617" s="93"/>
      <c r="BC617" s="93"/>
      <c r="BD617" s="93"/>
      <c r="BE617" s="93"/>
      <c r="BF617" s="93"/>
      <c r="BG617" s="93"/>
      <c r="BH617" s="93"/>
      <c r="BI617" s="93"/>
      <c r="BJ617" s="93"/>
      <c r="BK617" s="93"/>
      <c r="BL617" s="93"/>
      <c r="BM617" s="93"/>
      <c r="BN617" s="93"/>
      <c r="BO617" s="93"/>
      <c r="BP617" s="93"/>
      <c r="BQ617" s="93"/>
      <c r="BR617" s="93"/>
      <c r="BS617" s="93"/>
      <c r="BT617" s="93"/>
      <c r="BU617" s="93"/>
      <c r="BV617" s="93"/>
      <c r="BW617" s="93"/>
      <c r="BX617" s="93"/>
      <c r="BY617" s="93"/>
      <c r="BZ617" s="93"/>
      <c r="CA617" s="93"/>
      <c r="CB617" s="93"/>
      <c r="CC617" s="93"/>
      <c r="CD617" s="93"/>
      <c r="CE617" s="93"/>
      <c r="CF617" s="93"/>
      <c r="CG617" s="93"/>
      <c r="CH617" s="93"/>
      <c r="CI617" s="93"/>
      <c r="CJ617" s="93"/>
      <c r="CK617" s="93"/>
      <c r="CL617" s="93"/>
      <c r="CM617" s="93"/>
      <c r="CN617" s="93"/>
      <c r="CO617" s="93"/>
      <c r="CP617" s="93"/>
      <c r="CQ617" s="93"/>
    </row>
    <row r="618" spans="1:95" s="8" customFormat="1" ht="14.25" hidden="1" customHeight="1" outlineLevel="2" x14ac:dyDescent="0.25">
      <c r="A618" s="89"/>
      <c r="B618" s="133"/>
      <c r="C618" s="133"/>
      <c r="D618" s="16">
        <v>2010</v>
      </c>
      <c r="E618" s="16">
        <v>2011</v>
      </c>
      <c r="F618" s="16">
        <v>2012</v>
      </c>
      <c r="G618" s="16">
        <v>2013</v>
      </c>
      <c r="H618" s="16">
        <v>2014</v>
      </c>
      <c r="I618" s="16">
        <v>2015</v>
      </c>
      <c r="J618" s="16">
        <v>2016</v>
      </c>
      <c r="K618" s="16">
        <v>2017</v>
      </c>
      <c r="L618" s="16">
        <v>2018</v>
      </c>
      <c r="M618" s="16">
        <v>2019</v>
      </c>
      <c r="N618" s="16">
        <v>2020</v>
      </c>
      <c r="O618" s="16">
        <v>2021</v>
      </c>
      <c r="P618" s="16">
        <v>2022</v>
      </c>
      <c r="Q618" s="16">
        <v>2023</v>
      </c>
      <c r="R618" s="16">
        <v>2024</v>
      </c>
      <c r="S618" s="16">
        <v>2025</v>
      </c>
      <c r="T618" s="16">
        <v>2026</v>
      </c>
      <c r="U618" s="16">
        <v>2027</v>
      </c>
      <c r="V618" s="16">
        <v>2028</v>
      </c>
      <c r="W618" s="16">
        <v>2029</v>
      </c>
      <c r="X618" s="16">
        <v>2030</v>
      </c>
      <c r="Y618" s="16">
        <v>2031</v>
      </c>
      <c r="Z618" s="16">
        <v>2032</v>
      </c>
      <c r="AA618" s="16">
        <v>2033</v>
      </c>
      <c r="AB618" s="16">
        <v>2034</v>
      </c>
      <c r="AC618" s="16">
        <v>2035</v>
      </c>
      <c r="AD618" s="16">
        <v>2036</v>
      </c>
      <c r="AE618" s="16">
        <v>2037</v>
      </c>
      <c r="AF618" s="16">
        <v>2038</v>
      </c>
      <c r="AG618" s="16">
        <v>2039</v>
      </c>
      <c r="AH618" s="16">
        <v>2040</v>
      </c>
      <c r="AI618" s="16">
        <v>2041</v>
      </c>
      <c r="AJ618" s="16">
        <v>2042</v>
      </c>
      <c r="AK618" s="16">
        <v>2043</v>
      </c>
      <c r="AL618" s="16">
        <v>2044</v>
      </c>
      <c r="AM618" s="16">
        <v>2045</v>
      </c>
      <c r="AN618" s="16">
        <v>2046</v>
      </c>
      <c r="AO618" s="16">
        <v>2047</v>
      </c>
      <c r="AP618" s="16">
        <v>2048</v>
      </c>
      <c r="AQ618" s="16">
        <v>2049</v>
      </c>
      <c r="AR618" s="16">
        <v>2050</v>
      </c>
      <c r="AS618" s="16">
        <v>2051</v>
      </c>
      <c r="AT618" s="16">
        <v>2052</v>
      </c>
      <c r="AU618" s="16">
        <v>2053</v>
      </c>
      <c r="AV618" s="16">
        <v>2054</v>
      </c>
      <c r="AW618" s="16">
        <v>2055</v>
      </c>
      <c r="AX618" s="16">
        <v>2056</v>
      </c>
      <c r="AY618" s="16">
        <v>2057</v>
      </c>
      <c r="AZ618" s="16">
        <v>2058</v>
      </c>
      <c r="BA618" s="16">
        <v>2059</v>
      </c>
      <c r="BB618" s="16">
        <v>2060</v>
      </c>
      <c r="BC618" s="16">
        <v>2061</v>
      </c>
      <c r="BD618" s="16">
        <v>2062</v>
      </c>
      <c r="BE618" s="16">
        <v>2063</v>
      </c>
      <c r="BF618" s="16">
        <v>2064</v>
      </c>
      <c r="BG618" s="16">
        <v>2065</v>
      </c>
      <c r="BH618" s="16">
        <v>2066</v>
      </c>
      <c r="BI618" s="16">
        <v>2067</v>
      </c>
      <c r="BJ618" s="16">
        <v>2068</v>
      </c>
      <c r="BK618" s="16">
        <v>2069</v>
      </c>
      <c r="BL618" s="16">
        <v>2070</v>
      </c>
      <c r="BM618" s="16">
        <v>2071</v>
      </c>
      <c r="BN618" s="16">
        <v>2072</v>
      </c>
      <c r="BO618" s="16">
        <v>2073</v>
      </c>
      <c r="BP618" s="16">
        <v>2074</v>
      </c>
      <c r="BQ618" s="16">
        <v>2075</v>
      </c>
      <c r="BR618" s="16">
        <v>2076</v>
      </c>
      <c r="BS618" s="16">
        <v>2077</v>
      </c>
      <c r="BT618" s="16">
        <v>2078</v>
      </c>
      <c r="BU618" s="16">
        <v>2079</v>
      </c>
      <c r="BV618" s="16">
        <v>2080</v>
      </c>
      <c r="BW618" s="16">
        <v>2081</v>
      </c>
      <c r="BX618" s="16">
        <v>2082</v>
      </c>
      <c r="BY618" s="16">
        <v>2083</v>
      </c>
      <c r="BZ618" s="16">
        <v>2084</v>
      </c>
      <c r="CA618" s="16">
        <v>2085</v>
      </c>
      <c r="CB618" s="16">
        <v>2086</v>
      </c>
      <c r="CC618" s="16">
        <v>2087</v>
      </c>
      <c r="CD618" s="16">
        <v>2088</v>
      </c>
      <c r="CE618" s="16">
        <v>2089</v>
      </c>
      <c r="CF618" s="16">
        <v>2090</v>
      </c>
      <c r="CG618" s="16">
        <v>2091</v>
      </c>
      <c r="CH618" s="16">
        <v>2092</v>
      </c>
      <c r="CI618" s="16">
        <v>2093</v>
      </c>
      <c r="CJ618" s="16">
        <v>2094</v>
      </c>
      <c r="CK618" s="16">
        <v>2095</v>
      </c>
      <c r="CL618" s="16">
        <v>2096</v>
      </c>
      <c r="CM618" s="16">
        <v>2097</v>
      </c>
      <c r="CN618" s="16">
        <v>2098</v>
      </c>
      <c r="CO618" s="16">
        <v>2099</v>
      </c>
      <c r="CP618" s="16">
        <v>2100</v>
      </c>
      <c r="CQ618" s="89"/>
    </row>
    <row r="619" spans="1:95" s="8" customFormat="1" ht="15" hidden="1" outlineLevel="2" x14ac:dyDescent="0.25">
      <c r="A619" s="89"/>
      <c r="B619" s="89" t="s">
        <v>3</v>
      </c>
      <c r="C619" s="89"/>
      <c r="D619" s="156">
        <f t="shared" ref="D619:AI619" si="222">Opening_year_stroke_cost*Opening_year_mask</f>
        <v>0</v>
      </c>
      <c r="E619" s="156">
        <f t="shared" si="222"/>
        <v>0</v>
      </c>
      <c r="F619" s="156">
        <f t="shared" si="222"/>
        <v>0</v>
      </c>
      <c r="G619" s="156">
        <f t="shared" si="222"/>
        <v>0</v>
      </c>
      <c r="H619" s="156">
        <f t="shared" si="222"/>
        <v>0</v>
      </c>
      <c r="I619" s="156">
        <f t="shared" si="222"/>
        <v>0</v>
      </c>
      <c r="J619" s="156">
        <f t="shared" si="222"/>
        <v>0</v>
      </c>
      <c r="K619" s="156">
        <f t="shared" si="222"/>
        <v>0</v>
      </c>
      <c r="L619" s="156">
        <f t="shared" si="222"/>
        <v>0</v>
      </c>
      <c r="M619" s="156">
        <f t="shared" si="222"/>
        <v>0</v>
      </c>
      <c r="N619" s="156">
        <f t="shared" si="222"/>
        <v>0</v>
      </c>
      <c r="O619" s="156">
        <f t="shared" si="222"/>
        <v>0</v>
      </c>
      <c r="P619" s="156">
        <f t="shared" si="222"/>
        <v>0</v>
      </c>
      <c r="Q619" s="156">
        <f t="shared" si="222"/>
        <v>0</v>
      </c>
      <c r="R619" s="156">
        <f t="shared" si="222"/>
        <v>0</v>
      </c>
      <c r="S619" s="156">
        <f t="shared" si="222"/>
        <v>0</v>
      </c>
      <c r="T619" s="156">
        <f t="shared" si="222"/>
        <v>-34575.643382294853</v>
      </c>
      <c r="U619" s="156">
        <f t="shared" si="222"/>
        <v>0</v>
      </c>
      <c r="V619" s="156">
        <f t="shared" si="222"/>
        <v>0</v>
      </c>
      <c r="W619" s="156">
        <f t="shared" si="222"/>
        <v>0</v>
      </c>
      <c r="X619" s="156">
        <f t="shared" si="222"/>
        <v>0</v>
      </c>
      <c r="Y619" s="156">
        <f t="shared" si="222"/>
        <v>0</v>
      </c>
      <c r="Z619" s="156">
        <f t="shared" si="222"/>
        <v>0</v>
      </c>
      <c r="AA619" s="156">
        <f t="shared" si="222"/>
        <v>0</v>
      </c>
      <c r="AB619" s="156">
        <f t="shared" si="222"/>
        <v>0</v>
      </c>
      <c r="AC619" s="156">
        <f t="shared" si="222"/>
        <v>0</v>
      </c>
      <c r="AD619" s="156">
        <f t="shared" si="222"/>
        <v>0</v>
      </c>
      <c r="AE619" s="156">
        <f t="shared" si="222"/>
        <v>0</v>
      </c>
      <c r="AF619" s="156">
        <f t="shared" si="222"/>
        <v>0</v>
      </c>
      <c r="AG619" s="156">
        <f t="shared" si="222"/>
        <v>0</v>
      </c>
      <c r="AH619" s="156">
        <f t="shared" si="222"/>
        <v>0</v>
      </c>
      <c r="AI619" s="156">
        <f t="shared" si="222"/>
        <v>0</v>
      </c>
      <c r="AJ619" s="156">
        <f t="shared" ref="AJ619:BO619" si="223">Opening_year_stroke_cost*Opening_year_mask</f>
        <v>0</v>
      </c>
      <c r="AK619" s="156">
        <f t="shared" si="223"/>
        <v>0</v>
      </c>
      <c r="AL619" s="156">
        <f t="shared" si="223"/>
        <v>0</v>
      </c>
      <c r="AM619" s="156">
        <f t="shared" si="223"/>
        <v>0</v>
      </c>
      <c r="AN619" s="156">
        <f t="shared" si="223"/>
        <v>0</v>
      </c>
      <c r="AO619" s="156">
        <f t="shared" si="223"/>
        <v>0</v>
      </c>
      <c r="AP619" s="156">
        <f t="shared" si="223"/>
        <v>0</v>
      </c>
      <c r="AQ619" s="156">
        <f t="shared" si="223"/>
        <v>0</v>
      </c>
      <c r="AR619" s="156">
        <f t="shared" si="223"/>
        <v>0</v>
      </c>
      <c r="AS619" s="156">
        <f t="shared" si="223"/>
        <v>0</v>
      </c>
      <c r="AT619" s="156">
        <f t="shared" si="223"/>
        <v>0</v>
      </c>
      <c r="AU619" s="156">
        <f t="shared" si="223"/>
        <v>0</v>
      </c>
      <c r="AV619" s="156">
        <f t="shared" si="223"/>
        <v>0</v>
      </c>
      <c r="AW619" s="156">
        <f t="shared" si="223"/>
        <v>0</v>
      </c>
      <c r="AX619" s="156">
        <f t="shared" si="223"/>
        <v>0</v>
      </c>
      <c r="AY619" s="156">
        <f t="shared" si="223"/>
        <v>0</v>
      </c>
      <c r="AZ619" s="156">
        <f t="shared" si="223"/>
        <v>0</v>
      </c>
      <c r="BA619" s="156">
        <f t="shared" si="223"/>
        <v>0</v>
      </c>
      <c r="BB619" s="156">
        <f t="shared" si="223"/>
        <v>0</v>
      </c>
      <c r="BC619" s="156">
        <f t="shared" si="223"/>
        <v>0</v>
      </c>
      <c r="BD619" s="156">
        <f t="shared" si="223"/>
        <v>0</v>
      </c>
      <c r="BE619" s="156">
        <f t="shared" si="223"/>
        <v>0</v>
      </c>
      <c r="BF619" s="156">
        <f t="shared" si="223"/>
        <v>0</v>
      </c>
      <c r="BG619" s="156">
        <f t="shared" si="223"/>
        <v>0</v>
      </c>
      <c r="BH619" s="156">
        <f t="shared" si="223"/>
        <v>0</v>
      </c>
      <c r="BI619" s="156">
        <f t="shared" si="223"/>
        <v>0</v>
      </c>
      <c r="BJ619" s="156">
        <f t="shared" si="223"/>
        <v>0</v>
      </c>
      <c r="BK619" s="156">
        <f t="shared" si="223"/>
        <v>0</v>
      </c>
      <c r="BL619" s="156">
        <f t="shared" si="223"/>
        <v>0</v>
      </c>
      <c r="BM619" s="156">
        <f t="shared" si="223"/>
        <v>0</v>
      </c>
      <c r="BN619" s="156">
        <f t="shared" si="223"/>
        <v>0</v>
      </c>
      <c r="BO619" s="156">
        <f t="shared" si="223"/>
        <v>0</v>
      </c>
      <c r="BP619" s="156">
        <f t="shared" ref="BP619:CP619" si="224">Opening_year_stroke_cost*Opening_year_mask</f>
        <v>0</v>
      </c>
      <c r="BQ619" s="156">
        <f t="shared" si="224"/>
        <v>0</v>
      </c>
      <c r="BR619" s="156">
        <f t="shared" si="224"/>
        <v>0</v>
      </c>
      <c r="BS619" s="156">
        <f t="shared" si="224"/>
        <v>0</v>
      </c>
      <c r="BT619" s="156">
        <f t="shared" si="224"/>
        <v>0</v>
      </c>
      <c r="BU619" s="156">
        <f t="shared" si="224"/>
        <v>0</v>
      </c>
      <c r="BV619" s="156">
        <f t="shared" si="224"/>
        <v>0</v>
      </c>
      <c r="BW619" s="156">
        <f t="shared" si="224"/>
        <v>0</v>
      </c>
      <c r="BX619" s="156">
        <f t="shared" si="224"/>
        <v>0</v>
      </c>
      <c r="BY619" s="156">
        <f t="shared" si="224"/>
        <v>0</v>
      </c>
      <c r="BZ619" s="156">
        <f t="shared" si="224"/>
        <v>0</v>
      </c>
      <c r="CA619" s="156">
        <f t="shared" si="224"/>
        <v>0</v>
      </c>
      <c r="CB619" s="156">
        <f t="shared" si="224"/>
        <v>0</v>
      </c>
      <c r="CC619" s="156">
        <f t="shared" si="224"/>
        <v>0</v>
      </c>
      <c r="CD619" s="156">
        <f t="shared" si="224"/>
        <v>0</v>
      </c>
      <c r="CE619" s="156">
        <f t="shared" si="224"/>
        <v>0</v>
      </c>
      <c r="CF619" s="156">
        <f t="shared" si="224"/>
        <v>0</v>
      </c>
      <c r="CG619" s="156">
        <f t="shared" si="224"/>
        <v>0</v>
      </c>
      <c r="CH619" s="156">
        <f t="shared" si="224"/>
        <v>0</v>
      </c>
      <c r="CI619" s="156">
        <f t="shared" si="224"/>
        <v>0</v>
      </c>
      <c r="CJ619" s="156">
        <f t="shared" si="224"/>
        <v>0</v>
      </c>
      <c r="CK619" s="156">
        <f t="shared" si="224"/>
        <v>0</v>
      </c>
      <c r="CL619" s="156">
        <f t="shared" si="224"/>
        <v>0</v>
      </c>
      <c r="CM619" s="156">
        <f t="shared" si="224"/>
        <v>0</v>
      </c>
      <c r="CN619" s="156">
        <f t="shared" si="224"/>
        <v>0</v>
      </c>
      <c r="CO619" s="156">
        <f t="shared" si="224"/>
        <v>0</v>
      </c>
      <c r="CP619" s="156">
        <f t="shared" si="224"/>
        <v>0</v>
      </c>
      <c r="CQ619" s="28" t="s">
        <v>449</v>
      </c>
    </row>
    <row r="620" spans="1:95" s="8" customFormat="1" ht="15" hidden="1" outlineLevel="2" x14ac:dyDescent="0.25">
      <c r="A620" s="89"/>
      <c r="B620" s="89" t="s">
        <v>5</v>
      </c>
      <c r="C620" s="89"/>
      <c r="D620" s="156">
        <f t="shared" ref="D620:AI620" si="225">Forecast_year_stroke_cost*Forecast_year_mask</f>
        <v>0</v>
      </c>
      <c r="E620" s="156">
        <f t="shared" si="225"/>
        <v>0</v>
      </c>
      <c r="F620" s="156">
        <f t="shared" si="225"/>
        <v>0</v>
      </c>
      <c r="G620" s="156">
        <f t="shared" si="225"/>
        <v>0</v>
      </c>
      <c r="H620" s="156">
        <f t="shared" si="225"/>
        <v>0</v>
      </c>
      <c r="I620" s="156">
        <f t="shared" si="225"/>
        <v>0</v>
      </c>
      <c r="J620" s="156">
        <f t="shared" si="225"/>
        <v>0</v>
      </c>
      <c r="K620" s="156">
        <f t="shared" si="225"/>
        <v>0</v>
      </c>
      <c r="L620" s="156">
        <f t="shared" si="225"/>
        <v>0</v>
      </c>
      <c r="M620" s="156">
        <f t="shared" si="225"/>
        <v>0</v>
      </c>
      <c r="N620" s="156">
        <f t="shared" si="225"/>
        <v>0</v>
      </c>
      <c r="O620" s="156">
        <f t="shared" si="225"/>
        <v>0</v>
      </c>
      <c r="P620" s="156">
        <f t="shared" si="225"/>
        <v>0</v>
      </c>
      <c r="Q620" s="156">
        <f t="shared" si="225"/>
        <v>0</v>
      </c>
      <c r="R620" s="156">
        <f t="shared" si="225"/>
        <v>0</v>
      </c>
      <c r="S620" s="156">
        <f t="shared" si="225"/>
        <v>0</v>
      </c>
      <c r="T620" s="156">
        <f t="shared" si="225"/>
        <v>0</v>
      </c>
      <c r="U620" s="156">
        <f t="shared" si="225"/>
        <v>0</v>
      </c>
      <c r="V620" s="156">
        <f t="shared" si="225"/>
        <v>0</v>
      </c>
      <c r="W620" s="156">
        <f t="shared" si="225"/>
        <v>0</v>
      </c>
      <c r="X620" s="156">
        <f t="shared" si="225"/>
        <v>0</v>
      </c>
      <c r="Y620" s="156">
        <f t="shared" si="225"/>
        <v>0</v>
      </c>
      <c r="Z620" s="156">
        <f t="shared" si="225"/>
        <v>0</v>
      </c>
      <c r="AA620" s="156">
        <f t="shared" si="225"/>
        <v>0</v>
      </c>
      <c r="AB620" s="156">
        <f t="shared" si="225"/>
        <v>0</v>
      </c>
      <c r="AC620" s="156">
        <f t="shared" si="225"/>
        <v>0</v>
      </c>
      <c r="AD620" s="156">
        <f t="shared" si="225"/>
        <v>-31122.194363890067</v>
      </c>
      <c r="AE620" s="156">
        <f t="shared" si="225"/>
        <v>0</v>
      </c>
      <c r="AF620" s="156">
        <f t="shared" si="225"/>
        <v>0</v>
      </c>
      <c r="AG620" s="156">
        <f t="shared" si="225"/>
        <v>0</v>
      </c>
      <c r="AH620" s="156">
        <f t="shared" si="225"/>
        <v>0</v>
      </c>
      <c r="AI620" s="156">
        <f t="shared" si="225"/>
        <v>0</v>
      </c>
      <c r="AJ620" s="156">
        <f t="shared" ref="AJ620:BO620" si="226">Forecast_year_stroke_cost*Forecast_year_mask</f>
        <v>0</v>
      </c>
      <c r="AK620" s="156">
        <f t="shared" si="226"/>
        <v>0</v>
      </c>
      <c r="AL620" s="156">
        <f t="shared" si="226"/>
        <v>0</v>
      </c>
      <c r="AM620" s="156">
        <f t="shared" si="226"/>
        <v>0</v>
      </c>
      <c r="AN620" s="156">
        <f t="shared" si="226"/>
        <v>0</v>
      </c>
      <c r="AO620" s="156">
        <f t="shared" si="226"/>
        <v>0</v>
      </c>
      <c r="AP620" s="156">
        <f t="shared" si="226"/>
        <v>0</v>
      </c>
      <c r="AQ620" s="156">
        <f t="shared" si="226"/>
        <v>0</v>
      </c>
      <c r="AR620" s="156">
        <f t="shared" si="226"/>
        <v>0</v>
      </c>
      <c r="AS620" s="156">
        <f t="shared" si="226"/>
        <v>0</v>
      </c>
      <c r="AT620" s="156">
        <f t="shared" si="226"/>
        <v>0</v>
      </c>
      <c r="AU620" s="156">
        <f t="shared" si="226"/>
        <v>0</v>
      </c>
      <c r="AV620" s="156">
        <f t="shared" si="226"/>
        <v>0</v>
      </c>
      <c r="AW620" s="156">
        <f t="shared" si="226"/>
        <v>0</v>
      </c>
      <c r="AX620" s="156">
        <f t="shared" si="226"/>
        <v>0</v>
      </c>
      <c r="AY620" s="156">
        <f t="shared" si="226"/>
        <v>0</v>
      </c>
      <c r="AZ620" s="156">
        <f t="shared" si="226"/>
        <v>0</v>
      </c>
      <c r="BA620" s="156">
        <f t="shared" si="226"/>
        <v>0</v>
      </c>
      <c r="BB620" s="156">
        <f t="shared" si="226"/>
        <v>0</v>
      </c>
      <c r="BC620" s="156">
        <f t="shared" si="226"/>
        <v>0</v>
      </c>
      <c r="BD620" s="156">
        <f t="shared" si="226"/>
        <v>0</v>
      </c>
      <c r="BE620" s="156">
        <f t="shared" si="226"/>
        <v>0</v>
      </c>
      <c r="BF620" s="156">
        <f t="shared" si="226"/>
        <v>0</v>
      </c>
      <c r="BG620" s="156">
        <f t="shared" si="226"/>
        <v>0</v>
      </c>
      <c r="BH620" s="156">
        <f t="shared" si="226"/>
        <v>0</v>
      </c>
      <c r="BI620" s="156">
        <f t="shared" si="226"/>
        <v>0</v>
      </c>
      <c r="BJ620" s="156">
        <f t="shared" si="226"/>
        <v>0</v>
      </c>
      <c r="BK620" s="156">
        <f t="shared" si="226"/>
        <v>0</v>
      </c>
      <c r="BL620" s="156">
        <f t="shared" si="226"/>
        <v>0</v>
      </c>
      <c r="BM620" s="156">
        <f t="shared" si="226"/>
        <v>0</v>
      </c>
      <c r="BN620" s="156">
        <f t="shared" si="226"/>
        <v>0</v>
      </c>
      <c r="BO620" s="156">
        <f t="shared" si="226"/>
        <v>0</v>
      </c>
      <c r="BP620" s="156">
        <f t="shared" ref="BP620:CP620" si="227">Forecast_year_stroke_cost*Forecast_year_mask</f>
        <v>0</v>
      </c>
      <c r="BQ620" s="156">
        <f t="shared" si="227"/>
        <v>0</v>
      </c>
      <c r="BR620" s="156">
        <f t="shared" si="227"/>
        <v>0</v>
      </c>
      <c r="BS620" s="156">
        <f t="shared" si="227"/>
        <v>0</v>
      </c>
      <c r="BT620" s="156">
        <f t="shared" si="227"/>
        <v>0</v>
      </c>
      <c r="BU620" s="156">
        <f t="shared" si="227"/>
        <v>0</v>
      </c>
      <c r="BV620" s="156">
        <f t="shared" si="227"/>
        <v>0</v>
      </c>
      <c r="BW620" s="156">
        <f t="shared" si="227"/>
        <v>0</v>
      </c>
      <c r="BX620" s="156">
        <f t="shared" si="227"/>
        <v>0</v>
      </c>
      <c r="BY620" s="156">
        <f t="shared" si="227"/>
        <v>0</v>
      </c>
      <c r="BZ620" s="156">
        <f t="shared" si="227"/>
        <v>0</v>
      </c>
      <c r="CA620" s="156">
        <f t="shared" si="227"/>
        <v>0</v>
      </c>
      <c r="CB620" s="156">
        <f t="shared" si="227"/>
        <v>0</v>
      </c>
      <c r="CC620" s="156">
        <f t="shared" si="227"/>
        <v>0</v>
      </c>
      <c r="CD620" s="156">
        <f t="shared" si="227"/>
        <v>0</v>
      </c>
      <c r="CE620" s="156">
        <f t="shared" si="227"/>
        <v>0</v>
      </c>
      <c r="CF620" s="156">
        <f t="shared" si="227"/>
        <v>0</v>
      </c>
      <c r="CG620" s="156">
        <f t="shared" si="227"/>
        <v>0</v>
      </c>
      <c r="CH620" s="156">
        <f t="shared" si="227"/>
        <v>0</v>
      </c>
      <c r="CI620" s="156">
        <f t="shared" si="227"/>
        <v>0</v>
      </c>
      <c r="CJ620" s="156">
        <f t="shared" si="227"/>
        <v>0</v>
      </c>
      <c r="CK620" s="156">
        <f t="shared" si="227"/>
        <v>0</v>
      </c>
      <c r="CL620" s="156">
        <f t="shared" si="227"/>
        <v>0</v>
      </c>
      <c r="CM620" s="156">
        <f t="shared" si="227"/>
        <v>0</v>
      </c>
      <c r="CN620" s="156">
        <f t="shared" si="227"/>
        <v>0</v>
      </c>
      <c r="CO620" s="156">
        <f t="shared" si="227"/>
        <v>0</v>
      </c>
      <c r="CP620" s="156">
        <f t="shared" si="227"/>
        <v>0</v>
      </c>
      <c r="CQ620" s="28" t="s">
        <v>450</v>
      </c>
    </row>
    <row r="621" spans="1:95" s="8" customFormat="1" ht="15" hidden="1" outlineLevel="2" x14ac:dyDescent="0.25">
      <c r="A621" s="89"/>
      <c r="B621" s="89" t="s">
        <v>414</v>
      </c>
      <c r="C621" s="89"/>
      <c r="D621" s="156">
        <f t="shared" ref="D621:AI621" si="228">(Opening_year_stroke_cost+(Difference_stroke_cost)*(year-Opening_year)/(Forecast_and_opening_year_difference))*Interpolation_mask</f>
        <v>0</v>
      </c>
      <c r="E621" s="156">
        <f t="shared" si="228"/>
        <v>0</v>
      </c>
      <c r="F621" s="156">
        <f t="shared" si="228"/>
        <v>0</v>
      </c>
      <c r="G621" s="156">
        <f t="shared" si="228"/>
        <v>0</v>
      </c>
      <c r="H621" s="156">
        <f t="shared" si="228"/>
        <v>0</v>
      </c>
      <c r="I621" s="156">
        <f t="shared" si="228"/>
        <v>0</v>
      </c>
      <c r="J621" s="156">
        <f t="shared" si="228"/>
        <v>0</v>
      </c>
      <c r="K621" s="156">
        <f t="shared" si="228"/>
        <v>0</v>
      </c>
      <c r="L621" s="156">
        <f t="shared" si="228"/>
        <v>0</v>
      </c>
      <c r="M621" s="156">
        <f t="shared" si="228"/>
        <v>0</v>
      </c>
      <c r="N621" s="156">
        <f t="shared" si="228"/>
        <v>0</v>
      </c>
      <c r="O621" s="156">
        <f t="shared" si="228"/>
        <v>0</v>
      </c>
      <c r="P621" s="156">
        <f t="shared" si="228"/>
        <v>0</v>
      </c>
      <c r="Q621" s="156">
        <f t="shared" si="228"/>
        <v>0</v>
      </c>
      <c r="R621" s="156">
        <f t="shared" si="228"/>
        <v>0</v>
      </c>
      <c r="S621" s="156">
        <f t="shared" si="228"/>
        <v>0</v>
      </c>
      <c r="T621" s="156">
        <f t="shared" si="228"/>
        <v>0</v>
      </c>
      <c r="U621" s="156">
        <f t="shared" si="228"/>
        <v>-34230.298480454374</v>
      </c>
      <c r="V621" s="156">
        <f t="shared" si="228"/>
        <v>-33884.953578613895</v>
      </c>
      <c r="W621" s="156">
        <f t="shared" si="228"/>
        <v>-33539.608676773416</v>
      </c>
      <c r="X621" s="156">
        <f t="shared" si="228"/>
        <v>-33194.263774932937</v>
      </c>
      <c r="Y621" s="156">
        <f t="shared" si="228"/>
        <v>-32848.918873092458</v>
      </c>
      <c r="Z621" s="156">
        <f t="shared" si="228"/>
        <v>-32503.573971251983</v>
      </c>
      <c r="AA621" s="156">
        <f t="shared" si="228"/>
        <v>-32158.229069411504</v>
      </c>
      <c r="AB621" s="156">
        <f t="shared" si="228"/>
        <v>-31812.884167571025</v>
      </c>
      <c r="AC621" s="156">
        <f t="shared" si="228"/>
        <v>-31467.539265730546</v>
      </c>
      <c r="AD621" s="156">
        <f t="shared" si="228"/>
        <v>0</v>
      </c>
      <c r="AE621" s="156">
        <f t="shared" si="228"/>
        <v>0</v>
      </c>
      <c r="AF621" s="156">
        <f t="shared" si="228"/>
        <v>0</v>
      </c>
      <c r="AG621" s="156">
        <f t="shared" si="228"/>
        <v>0</v>
      </c>
      <c r="AH621" s="156">
        <f t="shared" si="228"/>
        <v>0</v>
      </c>
      <c r="AI621" s="156">
        <f t="shared" si="228"/>
        <v>0</v>
      </c>
      <c r="AJ621" s="156">
        <f t="shared" ref="AJ621:BO621" si="229">(Opening_year_stroke_cost+(Difference_stroke_cost)*(year-Opening_year)/(Forecast_and_opening_year_difference))*Interpolation_mask</f>
        <v>0</v>
      </c>
      <c r="AK621" s="156">
        <f t="shared" si="229"/>
        <v>0</v>
      </c>
      <c r="AL621" s="156">
        <f t="shared" si="229"/>
        <v>0</v>
      </c>
      <c r="AM621" s="156">
        <f t="shared" si="229"/>
        <v>0</v>
      </c>
      <c r="AN621" s="156">
        <f t="shared" si="229"/>
        <v>0</v>
      </c>
      <c r="AO621" s="156">
        <f t="shared" si="229"/>
        <v>0</v>
      </c>
      <c r="AP621" s="156">
        <f t="shared" si="229"/>
        <v>0</v>
      </c>
      <c r="AQ621" s="156">
        <f t="shared" si="229"/>
        <v>0</v>
      </c>
      <c r="AR621" s="156">
        <f t="shared" si="229"/>
        <v>0</v>
      </c>
      <c r="AS621" s="156">
        <f t="shared" si="229"/>
        <v>0</v>
      </c>
      <c r="AT621" s="156">
        <f t="shared" si="229"/>
        <v>0</v>
      </c>
      <c r="AU621" s="156">
        <f t="shared" si="229"/>
        <v>0</v>
      </c>
      <c r="AV621" s="156">
        <f t="shared" si="229"/>
        <v>0</v>
      </c>
      <c r="AW621" s="156">
        <f t="shared" si="229"/>
        <v>0</v>
      </c>
      <c r="AX621" s="156">
        <f t="shared" si="229"/>
        <v>0</v>
      </c>
      <c r="AY621" s="156">
        <f t="shared" si="229"/>
        <v>0</v>
      </c>
      <c r="AZ621" s="156">
        <f t="shared" si="229"/>
        <v>0</v>
      </c>
      <c r="BA621" s="156">
        <f t="shared" si="229"/>
        <v>0</v>
      </c>
      <c r="BB621" s="156">
        <f t="shared" si="229"/>
        <v>0</v>
      </c>
      <c r="BC621" s="156">
        <f t="shared" si="229"/>
        <v>0</v>
      </c>
      <c r="BD621" s="156">
        <f t="shared" si="229"/>
        <v>0</v>
      </c>
      <c r="BE621" s="156">
        <f t="shared" si="229"/>
        <v>0</v>
      </c>
      <c r="BF621" s="156">
        <f t="shared" si="229"/>
        <v>0</v>
      </c>
      <c r="BG621" s="156">
        <f t="shared" si="229"/>
        <v>0</v>
      </c>
      <c r="BH621" s="156">
        <f t="shared" si="229"/>
        <v>0</v>
      </c>
      <c r="BI621" s="156">
        <f t="shared" si="229"/>
        <v>0</v>
      </c>
      <c r="BJ621" s="156">
        <f t="shared" si="229"/>
        <v>0</v>
      </c>
      <c r="BK621" s="156">
        <f t="shared" si="229"/>
        <v>0</v>
      </c>
      <c r="BL621" s="156">
        <f t="shared" si="229"/>
        <v>0</v>
      </c>
      <c r="BM621" s="156">
        <f t="shared" si="229"/>
        <v>0</v>
      </c>
      <c r="BN621" s="156">
        <f t="shared" si="229"/>
        <v>0</v>
      </c>
      <c r="BO621" s="156">
        <f t="shared" si="229"/>
        <v>0</v>
      </c>
      <c r="BP621" s="156">
        <f t="shared" ref="BP621:CP621" si="230">(Opening_year_stroke_cost+(Difference_stroke_cost)*(year-Opening_year)/(Forecast_and_opening_year_difference))*Interpolation_mask</f>
        <v>0</v>
      </c>
      <c r="BQ621" s="156">
        <f t="shared" si="230"/>
        <v>0</v>
      </c>
      <c r="BR621" s="156">
        <f t="shared" si="230"/>
        <v>0</v>
      </c>
      <c r="BS621" s="156">
        <f t="shared" si="230"/>
        <v>0</v>
      </c>
      <c r="BT621" s="156">
        <f t="shared" si="230"/>
        <v>0</v>
      </c>
      <c r="BU621" s="156">
        <f t="shared" si="230"/>
        <v>0</v>
      </c>
      <c r="BV621" s="156">
        <f t="shared" si="230"/>
        <v>0</v>
      </c>
      <c r="BW621" s="156">
        <f t="shared" si="230"/>
        <v>0</v>
      </c>
      <c r="BX621" s="156">
        <f t="shared" si="230"/>
        <v>0</v>
      </c>
      <c r="BY621" s="156">
        <f t="shared" si="230"/>
        <v>0</v>
      </c>
      <c r="BZ621" s="156">
        <f t="shared" si="230"/>
        <v>0</v>
      </c>
      <c r="CA621" s="156">
        <f t="shared" si="230"/>
        <v>0</v>
      </c>
      <c r="CB621" s="156">
        <f t="shared" si="230"/>
        <v>0</v>
      </c>
      <c r="CC621" s="156">
        <f t="shared" si="230"/>
        <v>0</v>
      </c>
      <c r="CD621" s="156">
        <f t="shared" si="230"/>
        <v>0</v>
      </c>
      <c r="CE621" s="156">
        <f t="shared" si="230"/>
        <v>0</v>
      </c>
      <c r="CF621" s="156">
        <f t="shared" si="230"/>
        <v>0</v>
      </c>
      <c r="CG621" s="156">
        <f t="shared" si="230"/>
        <v>0</v>
      </c>
      <c r="CH621" s="156">
        <f t="shared" si="230"/>
        <v>0</v>
      </c>
      <c r="CI621" s="156">
        <f t="shared" si="230"/>
        <v>0</v>
      </c>
      <c r="CJ621" s="156">
        <f t="shared" si="230"/>
        <v>0</v>
      </c>
      <c r="CK621" s="156">
        <f t="shared" si="230"/>
        <v>0</v>
      </c>
      <c r="CL621" s="156">
        <f t="shared" si="230"/>
        <v>0</v>
      </c>
      <c r="CM621" s="156">
        <f t="shared" si="230"/>
        <v>0</v>
      </c>
      <c r="CN621" s="156">
        <f t="shared" si="230"/>
        <v>0</v>
      </c>
      <c r="CO621" s="156">
        <f t="shared" si="230"/>
        <v>0</v>
      </c>
      <c r="CP621" s="156">
        <f t="shared" si="230"/>
        <v>0</v>
      </c>
      <c r="CQ621" s="28" t="s">
        <v>451</v>
      </c>
    </row>
    <row r="622" spans="1:95" s="8" customFormat="1" ht="15" hidden="1" outlineLevel="2" x14ac:dyDescent="0.25">
      <c r="A622" s="89"/>
      <c r="B622" s="89" t="s">
        <v>416</v>
      </c>
      <c r="C622" s="89"/>
      <c r="D622" s="156">
        <f t="shared" ref="D622:AI622" si="231">Forecast_year_stroke_cost*Extrapolation_mask</f>
        <v>0</v>
      </c>
      <c r="E622" s="156">
        <f t="shared" si="231"/>
        <v>0</v>
      </c>
      <c r="F622" s="156">
        <f t="shared" si="231"/>
        <v>0</v>
      </c>
      <c r="G622" s="156">
        <f t="shared" si="231"/>
        <v>0</v>
      </c>
      <c r="H622" s="156">
        <f t="shared" si="231"/>
        <v>0</v>
      </c>
      <c r="I622" s="156">
        <f t="shared" si="231"/>
        <v>0</v>
      </c>
      <c r="J622" s="156">
        <f t="shared" si="231"/>
        <v>0</v>
      </c>
      <c r="K622" s="156">
        <f t="shared" si="231"/>
        <v>0</v>
      </c>
      <c r="L622" s="156">
        <f t="shared" si="231"/>
        <v>0</v>
      </c>
      <c r="M622" s="156">
        <f t="shared" si="231"/>
        <v>0</v>
      </c>
      <c r="N622" s="156">
        <f t="shared" si="231"/>
        <v>0</v>
      </c>
      <c r="O622" s="156">
        <f t="shared" si="231"/>
        <v>0</v>
      </c>
      <c r="P622" s="156">
        <f t="shared" si="231"/>
        <v>0</v>
      </c>
      <c r="Q622" s="156">
        <f t="shared" si="231"/>
        <v>0</v>
      </c>
      <c r="R622" s="156">
        <f t="shared" si="231"/>
        <v>0</v>
      </c>
      <c r="S622" s="156">
        <f t="shared" si="231"/>
        <v>0</v>
      </c>
      <c r="T622" s="156">
        <f t="shared" si="231"/>
        <v>0</v>
      </c>
      <c r="U622" s="156">
        <f t="shared" si="231"/>
        <v>0</v>
      </c>
      <c r="V622" s="156">
        <f t="shared" si="231"/>
        <v>0</v>
      </c>
      <c r="W622" s="156">
        <f t="shared" si="231"/>
        <v>0</v>
      </c>
      <c r="X622" s="156">
        <f t="shared" si="231"/>
        <v>0</v>
      </c>
      <c r="Y622" s="156">
        <f t="shared" si="231"/>
        <v>0</v>
      </c>
      <c r="Z622" s="156">
        <f t="shared" si="231"/>
        <v>0</v>
      </c>
      <c r="AA622" s="156">
        <f t="shared" si="231"/>
        <v>0</v>
      </c>
      <c r="AB622" s="156">
        <f t="shared" si="231"/>
        <v>0</v>
      </c>
      <c r="AC622" s="156">
        <f t="shared" si="231"/>
        <v>0</v>
      </c>
      <c r="AD622" s="156">
        <f t="shared" si="231"/>
        <v>0</v>
      </c>
      <c r="AE622" s="156">
        <f t="shared" si="231"/>
        <v>-31122.194363890067</v>
      </c>
      <c r="AF622" s="156">
        <f t="shared" si="231"/>
        <v>-31122.194363890067</v>
      </c>
      <c r="AG622" s="156">
        <f t="shared" si="231"/>
        <v>-31122.194363890067</v>
      </c>
      <c r="AH622" s="156">
        <f t="shared" si="231"/>
        <v>-31122.194363890067</v>
      </c>
      <c r="AI622" s="156">
        <f t="shared" si="231"/>
        <v>-31122.194363890067</v>
      </c>
      <c r="AJ622" s="156">
        <f t="shared" ref="AJ622:BO622" si="232">Forecast_year_stroke_cost*Extrapolation_mask</f>
        <v>-31122.194363890067</v>
      </c>
      <c r="AK622" s="156">
        <f t="shared" si="232"/>
        <v>-31122.194363890067</v>
      </c>
      <c r="AL622" s="156">
        <f t="shared" si="232"/>
        <v>-31122.194363890067</v>
      </c>
      <c r="AM622" s="156">
        <f t="shared" si="232"/>
        <v>-31122.194363890067</v>
      </c>
      <c r="AN622" s="156">
        <f t="shared" si="232"/>
        <v>-31122.194363890067</v>
      </c>
      <c r="AO622" s="156">
        <f t="shared" si="232"/>
        <v>-31122.194363890067</v>
      </c>
      <c r="AP622" s="156">
        <f t="shared" si="232"/>
        <v>-31122.194363890067</v>
      </c>
      <c r="AQ622" s="156">
        <f t="shared" si="232"/>
        <v>-31122.194363890067</v>
      </c>
      <c r="AR622" s="156">
        <f t="shared" si="232"/>
        <v>-31122.194363890067</v>
      </c>
      <c r="AS622" s="156">
        <f t="shared" si="232"/>
        <v>-31122.194363890067</v>
      </c>
      <c r="AT622" s="156">
        <f t="shared" si="232"/>
        <v>-31122.194363890067</v>
      </c>
      <c r="AU622" s="156">
        <f t="shared" si="232"/>
        <v>-31122.194363890067</v>
      </c>
      <c r="AV622" s="156">
        <f t="shared" si="232"/>
        <v>-31122.194363890067</v>
      </c>
      <c r="AW622" s="156">
        <f t="shared" si="232"/>
        <v>-31122.194363890067</v>
      </c>
      <c r="AX622" s="156">
        <f t="shared" si="232"/>
        <v>-31122.194363890067</v>
      </c>
      <c r="AY622" s="156">
        <f t="shared" si="232"/>
        <v>-31122.194363890067</v>
      </c>
      <c r="AZ622" s="156">
        <f t="shared" si="232"/>
        <v>-31122.194363890067</v>
      </c>
      <c r="BA622" s="156">
        <f t="shared" si="232"/>
        <v>-31122.194363890067</v>
      </c>
      <c r="BB622" s="156">
        <f t="shared" si="232"/>
        <v>-31122.194363890067</v>
      </c>
      <c r="BC622" s="156">
        <f t="shared" si="232"/>
        <v>-31122.194363890067</v>
      </c>
      <c r="BD622" s="156">
        <f t="shared" si="232"/>
        <v>-31122.194363890067</v>
      </c>
      <c r="BE622" s="156">
        <f t="shared" si="232"/>
        <v>-31122.194363890067</v>
      </c>
      <c r="BF622" s="156">
        <f t="shared" si="232"/>
        <v>-31122.194363890067</v>
      </c>
      <c r="BG622" s="156">
        <f t="shared" si="232"/>
        <v>-31122.194363890067</v>
      </c>
      <c r="BH622" s="156">
        <f t="shared" si="232"/>
        <v>-31122.194363890067</v>
      </c>
      <c r="BI622" s="156">
        <f t="shared" si="232"/>
        <v>-31122.194363890067</v>
      </c>
      <c r="BJ622" s="156">
        <f t="shared" si="232"/>
        <v>-31122.194363890067</v>
      </c>
      <c r="BK622" s="156">
        <f t="shared" si="232"/>
        <v>-31122.194363890067</v>
      </c>
      <c r="BL622" s="156">
        <f t="shared" si="232"/>
        <v>-31122.194363890067</v>
      </c>
      <c r="BM622" s="156">
        <f t="shared" si="232"/>
        <v>-31122.194363890067</v>
      </c>
      <c r="BN622" s="156">
        <f t="shared" si="232"/>
        <v>-31122.194363890067</v>
      </c>
      <c r="BO622" s="156">
        <f t="shared" si="232"/>
        <v>-31122.194363890067</v>
      </c>
      <c r="BP622" s="156">
        <f t="shared" ref="BP622:CP622" si="233">Forecast_year_stroke_cost*Extrapolation_mask</f>
        <v>-31122.194363890067</v>
      </c>
      <c r="BQ622" s="156">
        <f t="shared" si="233"/>
        <v>-31122.194363890067</v>
      </c>
      <c r="BR622" s="156">
        <f t="shared" si="233"/>
        <v>-31122.194363890067</v>
      </c>
      <c r="BS622" s="156">
        <f t="shared" si="233"/>
        <v>-31122.194363890067</v>
      </c>
      <c r="BT622" s="156">
        <f t="shared" si="233"/>
        <v>-31122.194363890067</v>
      </c>
      <c r="BU622" s="156">
        <f t="shared" si="233"/>
        <v>-31122.194363890067</v>
      </c>
      <c r="BV622" s="156">
        <f t="shared" si="233"/>
        <v>-31122.194363890067</v>
      </c>
      <c r="BW622" s="156">
        <f t="shared" si="233"/>
        <v>-31122.194363890067</v>
      </c>
      <c r="BX622" s="156">
        <f t="shared" si="233"/>
        <v>-31122.194363890067</v>
      </c>
      <c r="BY622" s="156">
        <f t="shared" si="233"/>
        <v>-31122.194363890067</v>
      </c>
      <c r="BZ622" s="156">
        <f t="shared" si="233"/>
        <v>-31122.194363890067</v>
      </c>
      <c r="CA622" s="156">
        <f t="shared" si="233"/>
        <v>-31122.194363890067</v>
      </c>
      <c r="CB622" s="156">
        <f t="shared" si="233"/>
        <v>0</v>
      </c>
      <c r="CC622" s="156">
        <f t="shared" si="233"/>
        <v>0</v>
      </c>
      <c r="CD622" s="156">
        <f t="shared" si="233"/>
        <v>0</v>
      </c>
      <c r="CE622" s="156">
        <f t="shared" si="233"/>
        <v>0</v>
      </c>
      <c r="CF622" s="156">
        <f t="shared" si="233"/>
        <v>0</v>
      </c>
      <c r="CG622" s="156">
        <f t="shared" si="233"/>
        <v>0</v>
      </c>
      <c r="CH622" s="156">
        <f t="shared" si="233"/>
        <v>0</v>
      </c>
      <c r="CI622" s="156">
        <f t="shared" si="233"/>
        <v>0</v>
      </c>
      <c r="CJ622" s="156">
        <f t="shared" si="233"/>
        <v>0</v>
      </c>
      <c r="CK622" s="156">
        <f t="shared" si="233"/>
        <v>0</v>
      </c>
      <c r="CL622" s="156">
        <f t="shared" si="233"/>
        <v>0</v>
      </c>
      <c r="CM622" s="156">
        <f t="shared" si="233"/>
        <v>0</v>
      </c>
      <c r="CN622" s="156">
        <f t="shared" si="233"/>
        <v>0</v>
      </c>
      <c r="CO622" s="156">
        <f t="shared" si="233"/>
        <v>0</v>
      </c>
      <c r="CP622" s="156">
        <f t="shared" si="233"/>
        <v>0</v>
      </c>
      <c r="CQ622" s="28" t="s">
        <v>452</v>
      </c>
    </row>
    <row r="623" spans="1:95" s="8" customFormat="1" ht="15" hidden="1" outlineLevel="2" x14ac:dyDescent="0.25">
      <c r="A623" s="89"/>
      <c r="B623" s="89" t="s">
        <v>420</v>
      </c>
      <c r="C623" s="89"/>
      <c r="D623" s="156">
        <f t="shared" ref="D623:AI623" si="234">Opening_year_stroke_cost_mask+Forecast_year_stroke_cost_mask+Interpolation_stroke_cost_mask+Extrapolation_stroke_cost_mask</f>
        <v>0</v>
      </c>
      <c r="E623" s="156">
        <f t="shared" si="234"/>
        <v>0</v>
      </c>
      <c r="F623" s="156">
        <f t="shared" si="234"/>
        <v>0</v>
      </c>
      <c r="G623" s="156">
        <f t="shared" si="234"/>
        <v>0</v>
      </c>
      <c r="H623" s="156">
        <f t="shared" si="234"/>
        <v>0</v>
      </c>
      <c r="I623" s="156">
        <f t="shared" si="234"/>
        <v>0</v>
      </c>
      <c r="J623" s="156">
        <f t="shared" si="234"/>
        <v>0</v>
      </c>
      <c r="K623" s="156">
        <f t="shared" si="234"/>
        <v>0</v>
      </c>
      <c r="L623" s="156">
        <f t="shared" si="234"/>
        <v>0</v>
      </c>
      <c r="M623" s="156">
        <f t="shared" si="234"/>
        <v>0</v>
      </c>
      <c r="N623" s="156">
        <f t="shared" si="234"/>
        <v>0</v>
      </c>
      <c r="O623" s="156">
        <f t="shared" si="234"/>
        <v>0</v>
      </c>
      <c r="P623" s="156">
        <f t="shared" si="234"/>
        <v>0</v>
      </c>
      <c r="Q623" s="156">
        <f t="shared" si="234"/>
        <v>0</v>
      </c>
      <c r="R623" s="156">
        <f t="shared" si="234"/>
        <v>0</v>
      </c>
      <c r="S623" s="156">
        <f t="shared" si="234"/>
        <v>0</v>
      </c>
      <c r="T623" s="156">
        <f t="shared" si="234"/>
        <v>-34575.643382294853</v>
      </c>
      <c r="U623" s="156">
        <f t="shared" si="234"/>
        <v>-34230.298480454374</v>
      </c>
      <c r="V623" s="156">
        <f t="shared" si="234"/>
        <v>-33884.953578613895</v>
      </c>
      <c r="W623" s="156">
        <f t="shared" si="234"/>
        <v>-33539.608676773416</v>
      </c>
      <c r="X623" s="156">
        <f t="shared" si="234"/>
        <v>-33194.263774932937</v>
      </c>
      <c r="Y623" s="156">
        <f t="shared" si="234"/>
        <v>-32848.918873092458</v>
      </c>
      <c r="Z623" s="156">
        <f t="shared" si="234"/>
        <v>-32503.573971251983</v>
      </c>
      <c r="AA623" s="156">
        <f t="shared" si="234"/>
        <v>-32158.229069411504</v>
      </c>
      <c r="AB623" s="156">
        <f t="shared" si="234"/>
        <v>-31812.884167571025</v>
      </c>
      <c r="AC623" s="156">
        <f t="shared" si="234"/>
        <v>-31467.539265730546</v>
      </c>
      <c r="AD623" s="156">
        <f t="shared" si="234"/>
        <v>-31122.194363890067</v>
      </c>
      <c r="AE623" s="156">
        <f t="shared" si="234"/>
        <v>-31122.194363890067</v>
      </c>
      <c r="AF623" s="156">
        <f t="shared" si="234"/>
        <v>-31122.194363890067</v>
      </c>
      <c r="AG623" s="156">
        <f t="shared" si="234"/>
        <v>-31122.194363890067</v>
      </c>
      <c r="AH623" s="156">
        <f t="shared" si="234"/>
        <v>-31122.194363890067</v>
      </c>
      <c r="AI623" s="156">
        <f t="shared" si="234"/>
        <v>-31122.194363890067</v>
      </c>
      <c r="AJ623" s="156">
        <f t="shared" ref="AJ623:BO623" si="235">Opening_year_stroke_cost_mask+Forecast_year_stroke_cost_mask+Interpolation_stroke_cost_mask+Extrapolation_stroke_cost_mask</f>
        <v>-31122.194363890067</v>
      </c>
      <c r="AK623" s="156">
        <f t="shared" si="235"/>
        <v>-31122.194363890067</v>
      </c>
      <c r="AL623" s="156">
        <f t="shared" si="235"/>
        <v>-31122.194363890067</v>
      </c>
      <c r="AM623" s="156">
        <f t="shared" si="235"/>
        <v>-31122.194363890067</v>
      </c>
      <c r="AN623" s="156">
        <f t="shared" si="235"/>
        <v>-31122.194363890067</v>
      </c>
      <c r="AO623" s="156">
        <f t="shared" si="235"/>
        <v>-31122.194363890067</v>
      </c>
      <c r="AP623" s="156">
        <f t="shared" si="235"/>
        <v>-31122.194363890067</v>
      </c>
      <c r="AQ623" s="156">
        <f t="shared" si="235"/>
        <v>-31122.194363890067</v>
      </c>
      <c r="AR623" s="156">
        <f t="shared" si="235"/>
        <v>-31122.194363890067</v>
      </c>
      <c r="AS623" s="156">
        <f t="shared" si="235"/>
        <v>-31122.194363890067</v>
      </c>
      <c r="AT623" s="156">
        <f t="shared" si="235"/>
        <v>-31122.194363890067</v>
      </c>
      <c r="AU623" s="156">
        <f t="shared" si="235"/>
        <v>-31122.194363890067</v>
      </c>
      <c r="AV623" s="156">
        <f t="shared" si="235"/>
        <v>-31122.194363890067</v>
      </c>
      <c r="AW623" s="156">
        <f t="shared" si="235"/>
        <v>-31122.194363890067</v>
      </c>
      <c r="AX623" s="156">
        <f t="shared" si="235"/>
        <v>-31122.194363890067</v>
      </c>
      <c r="AY623" s="156">
        <f t="shared" si="235"/>
        <v>-31122.194363890067</v>
      </c>
      <c r="AZ623" s="156">
        <f t="shared" si="235"/>
        <v>-31122.194363890067</v>
      </c>
      <c r="BA623" s="156">
        <f t="shared" si="235"/>
        <v>-31122.194363890067</v>
      </c>
      <c r="BB623" s="156">
        <f t="shared" si="235"/>
        <v>-31122.194363890067</v>
      </c>
      <c r="BC623" s="156">
        <f t="shared" si="235"/>
        <v>-31122.194363890067</v>
      </c>
      <c r="BD623" s="156">
        <f t="shared" si="235"/>
        <v>-31122.194363890067</v>
      </c>
      <c r="BE623" s="156">
        <f t="shared" si="235"/>
        <v>-31122.194363890067</v>
      </c>
      <c r="BF623" s="156">
        <f t="shared" si="235"/>
        <v>-31122.194363890067</v>
      </c>
      <c r="BG623" s="156">
        <f t="shared" si="235"/>
        <v>-31122.194363890067</v>
      </c>
      <c r="BH623" s="156">
        <f t="shared" si="235"/>
        <v>-31122.194363890067</v>
      </c>
      <c r="BI623" s="156">
        <f t="shared" si="235"/>
        <v>-31122.194363890067</v>
      </c>
      <c r="BJ623" s="156">
        <f t="shared" si="235"/>
        <v>-31122.194363890067</v>
      </c>
      <c r="BK623" s="156">
        <f t="shared" si="235"/>
        <v>-31122.194363890067</v>
      </c>
      <c r="BL623" s="156">
        <f t="shared" si="235"/>
        <v>-31122.194363890067</v>
      </c>
      <c r="BM623" s="156">
        <f t="shared" si="235"/>
        <v>-31122.194363890067</v>
      </c>
      <c r="BN623" s="156">
        <f t="shared" si="235"/>
        <v>-31122.194363890067</v>
      </c>
      <c r="BO623" s="156">
        <f t="shared" si="235"/>
        <v>-31122.194363890067</v>
      </c>
      <c r="BP623" s="156">
        <f t="shared" ref="BP623:CP623" si="236">Opening_year_stroke_cost_mask+Forecast_year_stroke_cost_mask+Interpolation_stroke_cost_mask+Extrapolation_stroke_cost_mask</f>
        <v>-31122.194363890067</v>
      </c>
      <c r="BQ623" s="156">
        <f t="shared" si="236"/>
        <v>-31122.194363890067</v>
      </c>
      <c r="BR623" s="156">
        <f t="shared" si="236"/>
        <v>-31122.194363890067</v>
      </c>
      <c r="BS623" s="156">
        <f t="shared" si="236"/>
        <v>-31122.194363890067</v>
      </c>
      <c r="BT623" s="156">
        <f t="shared" si="236"/>
        <v>-31122.194363890067</v>
      </c>
      <c r="BU623" s="156">
        <f t="shared" si="236"/>
        <v>-31122.194363890067</v>
      </c>
      <c r="BV623" s="156">
        <f t="shared" si="236"/>
        <v>-31122.194363890067</v>
      </c>
      <c r="BW623" s="156">
        <f t="shared" si="236"/>
        <v>-31122.194363890067</v>
      </c>
      <c r="BX623" s="156">
        <f t="shared" si="236"/>
        <v>-31122.194363890067</v>
      </c>
      <c r="BY623" s="156">
        <f t="shared" si="236"/>
        <v>-31122.194363890067</v>
      </c>
      <c r="BZ623" s="156">
        <f t="shared" si="236"/>
        <v>-31122.194363890067</v>
      </c>
      <c r="CA623" s="156">
        <f t="shared" si="236"/>
        <v>-31122.194363890067</v>
      </c>
      <c r="CB623" s="156">
        <f t="shared" si="236"/>
        <v>0</v>
      </c>
      <c r="CC623" s="156">
        <f t="shared" si="236"/>
        <v>0</v>
      </c>
      <c r="CD623" s="156">
        <f t="shared" si="236"/>
        <v>0</v>
      </c>
      <c r="CE623" s="156">
        <f t="shared" si="236"/>
        <v>0</v>
      </c>
      <c r="CF623" s="156">
        <f t="shared" si="236"/>
        <v>0</v>
      </c>
      <c r="CG623" s="156">
        <f t="shared" si="236"/>
        <v>0</v>
      </c>
      <c r="CH623" s="156">
        <f t="shared" si="236"/>
        <v>0</v>
      </c>
      <c r="CI623" s="156">
        <f t="shared" si="236"/>
        <v>0</v>
      </c>
      <c r="CJ623" s="156">
        <f t="shared" si="236"/>
        <v>0</v>
      </c>
      <c r="CK623" s="156">
        <f t="shared" si="236"/>
        <v>0</v>
      </c>
      <c r="CL623" s="156">
        <f t="shared" si="236"/>
        <v>0</v>
      </c>
      <c r="CM623" s="156">
        <f t="shared" si="236"/>
        <v>0</v>
      </c>
      <c r="CN623" s="156">
        <f t="shared" si="236"/>
        <v>0</v>
      </c>
      <c r="CO623" s="156">
        <f t="shared" si="236"/>
        <v>0</v>
      </c>
      <c r="CP623" s="156">
        <f t="shared" si="236"/>
        <v>0</v>
      </c>
      <c r="CQ623" s="28" t="s">
        <v>453</v>
      </c>
    </row>
    <row r="624" spans="1:95" s="8" customFormat="1" ht="15" hidden="1" outlineLevel="2" x14ac:dyDescent="0.25">
      <c r="A624" s="89"/>
      <c r="B624" s="89"/>
      <c r="C624" s="89"/>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7"/>
      <c r="AY624" s="157"/>
      <c r="AZ624" s="157"/>
      <c r="BA624" s="157"/>
      <c r="BB624" s="157"/>
      <c r="BC624" s="157"/>
      <c r="BD624" s="157"/>
      <c r="BE624" s="157"/>
      <c r="BF624" s="157"/>
      <c r="BG624" s="157"/>
      <c r="BH624" s="157"/>
      <c r="BI624" s="157"/>
      <c r="BJ624" s="157"/>
      <c r="BK624" s="157"/>
      <c r="BL624" s="157"/>
      <c r="BM624" s="157"/>
      <c r="BN624" s="157"/>
      <c r="BO624" s="157"/>
      <c r="BP624" s="157"/>
      <c r="BQ624" s="157"/>
      <c r="BR624" s="157"/>
      <c r="BS624" s="157"/>
      <c r="BT624" s="157"/>
      <c r="BU624" s="157"/>
      <c r="BV624" s="157"/>
      <c r="BW624" s="157"/>
      <c r="BX624" s="157"/>
      <c r="BY624" s="157"/>
      <c r="BZ624" s="157"/>
      <c r="CA624" s="157"/>
      <c r="CB624" s="157"/>
      <c r="CC624" s="157"/>
      <c r="CD624" s="157"/>
      <c r="CE624" s="157"/>
      <c r="CF624" s="157"/>
      <c r="CG624" s="157"/>
      <c r="CH624" s="157"/>
      <c r="CI624" s="157"/>
      <c r="CJ624" s="157"/>
      <c r="CK624" s="157"/>
      <c r="CL624" s="157"/>
      <c r="CM624" s="157"/>
      <c r="CN624" s="157"/>
      <c r="CO624" s="157"/>
      <c r="CP624" s="157"/>
      <c r="CQ624" s="28"/>
    </row>
    <row r="625" spans="1:95" s="5" customFormat="1" ht="18.75" hidden="1" customHeight="1" outlineLevel="2" x14ac:dyDescent="0.25">
      <c r="B625" s="5" t="s">
        <v>454</v>
      </c>
    </row>
    <row r="626" spans="1:95" s="4" customFormat="1" ht="18.75" hidden="1" customHeight="1" outlineLevel="2" x14ac:dyDescent="0.3">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3"/>
      <c r="AY626" s="93"/>
      <c r="AZ626" s="93"/>
      <c r="BA626" s="93"/>
      <c r="BB626" s="93"/>
      <c r="BC626" s="93"/>
      <c r="BD626" s="93"/>
      <c r="BE626" s="93"/>
      <c r="BF626" s="93"/>
      <c r="BG626" s="93"/>
      <c r="BH626" s="93"/>
      <c r="BI626" s="93"/>
      <c r="BJ626" s="93"/>
      <c r="BK626" s="93"/>
      <c r="BL626" s="93"/>
      <c r="BM626" s="93"/>
      <c r="BN626" s="93"/>
      <c r="BO626" s="93"/>
      <c r="BP626" s="93"/>
      <c r="BQ626" s="93"/>
      <c r="BR626" s="93"/>
      <c r="BS626" s="93"/>
      <c r="BT626" s="93"/>
      <c r="BU626" s="93"/>
      <c r="BV626" s="93"/>
      <c r="BW626" s="93"/>
      <c r="BX626" s="93"/>
      <c r="BY626" s="93"/>
      <c r="BZ626" s="93"/>
      <c r="CA626" s="93"/>
      <c r="CB626" s="93"/>
      <c r="CC626" s="93"/>
      <c r="CD626" s="93"/>
      <c r="CE626" s="93"/>
      <c r="CF626" s="93"/>
      <c r="CG626" s="93"/>
      <c r="CH626" s="93"/>
      <c r="CI626" s="93"/>
      <c r="CJ626" s="93"/>
      <c r="CK626" s="93"/>
      <c r="CL626" s="93"/>
      <c r="CM626" s="93"/>
      <c r="CN626" s="93"/>
      <c r="CO626" s="93"/>
      <c r="CP626" s="93"/>
      <c r="CQ626" s="93"/>
    </row>
    <row r="627" spans="1:95" s="8" customFormat="1" ht="14.25" hidden="1" customHeight="1" outlineLevel="2" x14ac:dyDescent="0.25">
      <c r="A627" s="89"/>
      <c r="B627" s="133"/>
      <c r="C627" s="133"/>
      <c r="D627" s="16">
        <v>2010</v>
      </c>
      <c r="E627" s="16">
        <v>2011</v>
      </c>
      <c r="F627" s="16">
        <v>2012</v>
      </c>
      <c r="G627" s="16">
        <v>2013</v>
      </c>
      <c r="H627" s="16">
        <v>2014</v>
      </c>
      <c r="I627" s="16">
        <v>2015</v>
      </c>
      <c r="J627" s="16">
        <v>2016</v>
      </c>
      <c r="K627" s="16">
        <v>2017</v>
      </c>
      <c r="L627" s="16">
        <v>2018</v>
      </c>
      <c r="M627" s="16">
        <v>2019</v>
      </c>
      <c r="N627" s="16">
        <v>2020</v>
      </c>
      <c r="O627" s="16">
        <v>2021</v>
      </c>
      <c r="P627" s="16">
        <v>2022</v>
      </c>
      <c r="Q627" s="16">
        <v>2023</v>
      </c>
      <c r="R627" s="16">
        <v>2024</v>
      </c>
      <c r="S627" s="16">
        <v>2025</v>
      </c>
      <c r="T627" s="16">
        <v>2026</v>
      </c>
      <c r="U627" s="16">
        <v>2027</v>
      </c>
      <c r="V627" s="16">
        <v>2028</v>
      </c>
      <c r="W627" s="16">
        <v>2029</v>
      </c>
      <c r="X627" s="16">
        <v>2030</v>
      </c>
      <c r="Y627" s="16">
        <v>2031</v>
      </c>
      <c r="Z627" s="16">
        <v>2032</v>
      </c>
      <c r="AA627" s="16">
        <v>2033</v>
      </c>
      <c r="AB627" s="16">
        <v>2034</v>
      </c>
      <c r="AC627" s="16">
        <v>2035</v>
      </c>
      <c r="AD627" s="16">
        <v>2036</v>
      </c>
      <c r="AE627" s="16">
        <v>2037</v>
      </c>
      <c r="AF627" s="16">
        <v>2038</v>
      </c>
      <c r="AG627" s="16">
        <v>2039</v>
      </c>
      <c r="AH627" s="16">
        <v>2040</v>
      </c>
      <c r="AI627" s="16">
        <v>2041</v>
      </c>
      <c r="AJ627" s="16">
        <v>2042</v>
      </c>
      <c r="AK627" s="16">
        <v>2043</v>
      </c>
      <c r="AL627" s="16">
        <v>2044</v>
      </c>
      <c r="AM627" s="16">
        <v>2045</v>
      </c>
      <c r="AN627" s="16">
        <v>2046</v>
      </c>
      <c r="AO627" s="16">
        <v>2047</v>
      </c>
      <c r="AP627" s="16">
        <v>2048</v>
      </c>
      <c r="AQ627" s="16">
        <v>2049</v>
      </c>
      <c r="AR627" s="16">
        <v>2050</v>
      </c>
      <c r="AS627" s="16">
        <v>2051</v>
      </c>
      <c r="AT627" s="16">
        <v>2052</v>
      </c>
      <c r="AU627" s="16">
        <v>2053</v>
      </c>
      <c r="AV627" s="16">
        <v>2054</v>
      </c>
      <c r="AW627" s="16">
        <v>2055</v>
      </c>
      <c r="AX627" s="16">
        <v>2056</v>
      </c>
      <c r="AY627" s="16">
        <v>2057</v>
      </c>
      <c r="AZ627" s="16">
        <v>2058</v>
      </c>
      <c r="BA627" s="16">
        <v>2059</v>
      </c>
      <c r="BB627" s="16">
        <v>2060</v>
      </c>
      <c r="BC627" s="16">
        <v>2061</v>
      </c>
      <c r="BD627" s="16">
        <v>2062</v>
      </c>
      <c r="BE627" s="16">
        <v>2063</v>
      </c>
      <c r="BF627" s="16">
        <v>2064</v>
      </c>
      <c r="BG627" s="16">
        <v>2065</v>
      </c>
      <c r="BH627" s="16">
        <v>2066</v>
      </c>
      <c r="BI627" s="16">
        <v>2067</v>
      </c>
      <c r="BJ627" s="16">
        <v>2068</v>
      </c>
      <c r="BK627" s="16">
        <v>2069</v>
      </c>
      <c r="BL627" s="16">
        <v>2070</v>
      </c>
      <c r="BM627" s="16">
        <v>2071</v>
      </c>
      <c r="BN627" s="16">
        <v>2072</v>
      </c>
      <c r="BO627" s="16">
        <v>2073</v>
      </c>
      <c r="BP627" s="16">
        <v>2074</v>
      </c>
      <c r="BQ627" s="16">
        <v>2075</v>
      </c>
      <c r="BR627" s="16">
        <v>2076</v>
      </c>
      <c r="BS627" s="16">
        <v>2077</v>
      </c>
      <c r="BT627" s="16">
        <v>2078</v>
      </c>
      <c r="BU627" s="16">
        <v>2079</v>
      </c>
      <c r="BV627" s="16">
        <v>2080</v>
      </c>
      <c r="BW627" s="16">
        <v>2081</v>
      </c>
      <c r="BX627" s="16">
        <v>2082</v>
      </c>
      <c r="BY627" s="16">
        <v>2083</v>
      </c>
      <c r="BZ627" s="16">
        <v>2084</v>
      </c>
      <c r="CA627" s="16">
        <v>2085</v>
      </c>
      <c r="CB627" s="16">
        <v>2086</v>
      </c>
      <c r="CC627" s="16">
        <v>2087</v>
      </c>
      <c r="CD627" s="16">
        <v>2088</v>
      </c>
      <c r="CE627" s="16">
        <v>2089</v>
      </c>
      <c r="CF627" s="16">
        <v>2090</v>
      </c>
      <c r="CG627" s="16">
        <v>2091</v>
      </c>
      <c r="CH627" s="16">
        <v>2092</v>
      </c>
      <c r="CI627" s="16">
        <v>2093</v>
      </c>
      <c r="CJ627" s="16">
        <v>2094</v>
      </c>
      <c r="CK627" s="16">
        <v>2095</v>
      </c>
      <c r="CL627" s="16">
        <v>2096</v>
      </c>
      <c r="CM627" s="16">
        <v>2097</v>
      </c>
      <c r="CN627" s="16">
        <v>2098</v>
      </c>
      <c r="CO627" s="16">
        <v>2099</v>
      </c>
      <c r="CP627" s="16">
        <v>2100</v>
      </c>
      <c r="CQ627" s="89"/>
    </row>
    <row r="628" spans="1:95" s="8" customFormat="1" ht="15" hidden="1" outlineLevel="2" x14ac:dyDescent="0.25">
      <c r="A628" s="89"/>
      <c r="B628" s="89" t="s">
        <v>3</v>
      </c>
      <c r="C628" s="89"/>
      <c r="D628" s="156">
        <f t="shared" ref="D628:AI628" si="237">Opening_year_dementia_cost*Opening_year_mask</f>
        <v>0</v>
      </c>
      <c r="E628" s="156">
        <f t="shared" si="237"/>
        <v>0</v>
      </c>
      <c r="F628" s="156">
        <f t="shared" si="237"/>
        <v>0</v>
      </c>
      <c r="G628" s="156">
        <f t="shared" si="237"/>
        <v>0</v>
      </c>
      <c r="H628" s="156">
        <f t="shared" si="237"/>
        <v>0</v>
      </c>
      <c r="I628" s="156">
        <f t="shared" si="237"/>
        <v>0</v>
      </c>
      <c r="J628" s="156">
        <f t="shared" si="237"/>
        <v>0</v>
      </c>
      <c r="K628" s="156">
        <f t="shared" si="237"/>
        <v>0</v>
      </c>
      <c r="L628" s="156">
        <f t="shared" si="237"/>
        <v>0</v>
      </c>
      <c r="M628" s="156">
        <f t="shared" si="237"/>
        <v>0</v>
      </c>
      <c r="N628" s="156">
        <f t="shared" si="237"/>
        <v>0</v>
      </c>
      <c r="O628" s="156">
        <f t="shared" si="237"/>
        <v>0</v>
      </c>
      <c r="P628" s="156">
        <f t="shared" si="237"/>
        <v>0</v>
      </c>
      <c r="Q628" s="156">
        <f t="shared" si="237"/>
        <v>0</v>
      </c>
      <c r="R628" s="156">
        <f t="shared" si="237"/>
        <v>0</v>
      </c>
      <c r="S628" s="156">
        <f t="shared" si="237"/>
        <v>0</v>
      </c>
      <c r="T628" s="156">
        <f t="shared" si="237"/>
        <v>-52285.605034691245</v>
      </c>
      <c r="U628" s="156">
        <f t="shared" si="237"/>
        <v>0</v>
      </c>
      <c r="V628" s="156">
        <f t="shared" si="237"/>
        <v>0</v>
      </c>
      <c r="W628" s="156">
        <f t="shared" si="237"/>
        <v>0</v>
      </c>
      <c r="X628" s="156">
        <f t="shared" si="237"/>
        <v>0</v>
      </c>
      <c r="Y628" s="156">
        <f t="shared" si="237"/>
        <v>0</v>
      </c>
      <c r="Z628" s="156">
        <f t="shared" si="237"/>
        <v>0</v>
      </c>
      <c r="AA628" s="156">
        <f t="shared" si="237"/>
        <v>0</v>
      </c>
      <c r="AB628" s="156">
        <f t="shared" si="237"/>
        <v>0</v>
      </c>
      <c r="AC628" s="156">
        <f t="shared" si="237"/>
        <v>0</v>
      </c>
      <c r="AD628" s="156">
        <f t="shared" si="237"/>
        <v>0</v>
      </c>
      <c r="AE628" s="156">
        <f t="shared" si="237"/>
        <v>0</v>
      </c>
      <c r="AF628" s="156">
        <f t="shared" si="237"/>
        <v>0</v>
      </c>
      <c r="AG628" s="156">
        <f t="shared" si="237"/>
        <v>0</v>
      </c>
      <c r="AH628" s="156">
        <f t="shared" si="237"/>
        <v>0</v>
      </c>
      <c r="AI628" s="156">
        <f t="shared" si="237"/>
        <v>0</v>
      </c>
      <c r="AJ628" s="156">
        <f t="shared" ref="AJ628:BO628" si="238">Opening_year_dementia_cost*Opening_year_mask</f>
        <v>0</v>
      </c>
      <c r="AK628" s="156">
        <f t="shared" si="238"/>
        <v>0</v>
      </c>
      <c r="AL628" s="156">
        <f t="shared" si="238"/>
        <v>0</v>
      </c>
      <c r="AM628" s="156">
        <f t="shared" si="238"/>
        <v>0</v>
      </c>
      <c r="AN628" s="156">
        <f t="shared" si="238"/>
        <v>0</v>
      </c>
      <c r="AO628" s="156">
        <f t="shared" si="238"/>
        <v>0</v>
      </c>
      <c r="AP628" s="156">
        <f t="shared" si="238"/>
        <v>0</v>
      </c>
      <c r="AQ628" s="156">
        <f t="shared" si="238"/>
        <v>0</v>
      </c>
      <c r="AR628" s="156">
        <f t="shared" si="238"/>
        <v>0</v>
      </c>
      <c r="AS628" s="156">
        <f t="shared" si="238"/>
        <v>0</v>
      </c>
      <c r="AT628" s="156">
        <f t="shared" si="238"/>
        <v>0</v>
      </c>
      <c r="AU628" s="156">
        <f t="shared" si="238"/>
        <v>0</v>
      </c>
      <c r="AV628" s="156">
        <f t="shared" si="238"/>
        <v>0</v>
      </c>
      <c r="AW628" s="156">
        <f t="shared" si="238"/>
        <v>0</v>
      </c>
      <c r="AX628" s="156">
        <f t="shared" si="238"/>
        <v>0</v>
      </c>
      <c r="AY628" s="156">
        <f t="shared" si="238"/>
        <v>0</v>
      </c>
      <c r="AZ628" s="156">
        <f t="shared" si="238"/>
        <v>0</v>
      </c>
      <c r="BA628" s="156">
        <f t="shared" si="238"/>
        <v>0</v>
      </c>
      <c r="BB628" s="156">
        <f t="shared" si="238"/>
        <v>0</v>
      </c>
      <c r="BC628" s="156">
        <f t="shared" si="238"/>
        <v>0</v>
      </c>
      <c r="BD628" s="156">
        <f t="shared" si="238"/>
        <v>0</v>
      </c>
      <c r="BE628" s="156">
        <f t="shared" si="238"/>
        <v>0</v>
      </c>
      <c r="BF628" s="156">
        <f t="shared" si="238"/>
        <v>0</v>
      </c>
      <c r="BG628" s="156">
        <f t="shared" si="238"/>
        <v>0</v>
      </c>
      <c r="BH628" s="156">
        <f t="shared" si="238"/>
        <v>0</v>
      </c>
      <c r="BI628" s="156">
        <f t="shared" si="238"/>
        <v>0</v>
      </c>
      <c r="BJ628" s="156">
        <f t="shared" si="238"/>
        <v>0</v>
      </c>
      <c r="BK628" s="156">
        <f t="shared" si="238"/>
        <v>0</v>
      </c>
      <c r="BL628" s="156">
        <f t="shared" si="238"/>
        <v>0</v>
      </c>
      <c r="BM628" s="156">
        <f t="shared" si="238"/>
        <v>0</v>
      </c>
      <c r="BN628" s="156">
        <f t="shared" si="238"/>
        <v>0</v>
      </c>
      <c r="BO628" s="156">
        <f t="shared" si="238"/>
        <v>0</v>
      </c>
      <c r="BP628" s="156">
        <f t="shared" ref="BP628:CP628" si="239">Opening_year_dementia_cost*Opening_year_mask</f>
        <v>0</v>
      </c>
      <c r="BQ628" s="156">
        <f t="shared" si="239"/>
        <v>0</v>
      </c>
      <c r="BR628" s="156">
        <f t="shared" si="239"/>
        <v>0</v>
      </c>
      <c r="BS628" s="156">
        <f t="shared" si="239"/>
        <v>0</v>
      </c>
      <c r="BT628" s="156">
        <f t="shared" si="239"/>
        <v>0</v>
      </c>
      <c r="BU628" s="156">
        <f t="shared" si="239"/>
        <v>0</v>
      </c>
      <c r="BV628" s="156">
        <f t="shared" si="239"/>
        <v>0</v>
      </c>
      <c r="BW628" s="156">
        <f t="shared" si="239"/>
        <v>0</v>
      </c>
      <c r="BX628" s="156">
        <f t="shared" si="239"/>
        <v>0</v>
      </c>
      <c r="BY628" s="156">
        <f t="shared" si="239"/>
        <v>0</v>
      </c>
      <c r="BZ628" s="156">
        <f t="shared" si="239"/>
        <v>0</v>
      </c>
      <c r="CA628" s="156">
        <f t="shared" si="239"/>
        <v>0</v>
      </c>
      <c r="CB628" s="156">
        <f t="shared" si="239"/>
        <v>0</v>
      </c>
      <c r="CC628" s="156">
        <f t="shared" si="239"/>
        <v>0</v>
      </c>
      <c r="CD628" s="156">
        <f t="shared" si="239"/>
        <v>0</v>
      </c>
      <c r="CE628" s="156">
        <f t="shared" si="239"/>
        <v>0</v>
      </c>
      <c r="CF628" s="156">
        <f t="shared" si="239"/>
        <v>0</v>
      </c>
      <c r="CG628" s="156">
        <f t="shared" si="239"/>
        <v>0</v>
      </c>
      <c r="CH628" s="156">
        <f t="shared" si="239"/>
        <v>0</v>
      </c>
      <c r="CI628" s="156">
        <f t="shared" si="239"/>
        <v>0</v>
      </c>
      <c r="CJ628" s="156">
        <f t="shared" si="239"/>
        <v>0</v>
      </c>
      <c r="CK628" s="156">
        <f t="shared" si="239"/>
        <v>0</v>
      </c>
      <c r="CL628" s="156">
        <f t="shared" si="239"/>
        <v>0</v>
      </c>
      <c r="CM628" s="156">
        <f t="shared" si="239"/>
        <v>0</v>
      </c>
      <c r="CN628" s="156">
        <f t="shared" si="239"/>
        <v>0</v>
      </c>
      <c r="CO628" s="156">
        <f t="shared" si="239"/>
        <v>0</v>
      </c>
      <c r="CP628" s="156">
        <f t="shared" si="239"/>
        <v>0</v>
      </c>
      <c r="CQ628" s="28" t="s">
        <v>455</v>
      </c>
    </row>
    <row r="629" spans="1:95" s="8" customFormat="1" ht="15" hidden="1" outlineLevel="2" x14ac:dyDescent="0.25">
      <c r="A629" s="89"/>
      <c r="B629" s="89" t="s">
        <v>5</v>
      </c>
      <c r="C629" s="89"/>
      <c r="D629" s="156">
        <f t="shared" ref="D629:AI629" si="240">Forecast_year_dementia_cost*Forecast_year_mask</f>
        <v>0</v>
      </c>
      <c r="E629" s="156">
        <f t="shared" si="240"/>
        <v>0</v>
      </c>
      <c r="F629" s="156">
        <f t="shared" si="240"/>
        <v>0</v>
      </c>
      <c r="G629" s="156">
        <f t="shared" si="240"/>
        <v>0</v>
      </c>
      <c r="H629" s="156">
        <f t="shared" si="240"/>
        <v>0</v>
      </c>
      <c r="I629" s="156">
        <f t="shared" si="240"/>
        <v>0</v>
      </c>
      <c r="J629" s="156">
        <f t="shared" si="240"/>
        <v>0</v>
      </c>
      <c r="K629" s="156">
        <f t="shared" si="240"/>
        <v>0</v>
      </c>
      <c r="L629" s="156">
        <f t="shared" si="240"/>
        <v>0</v>
      </c>
      <c r="M629" s="156">
        <f t="shared" si="240"/>
        <v>0</v>
      </c>
      <c r="N629" s="156">
        <f t="shared" si="240"/>
        <v>0</v>
      </c>
      <c r="O629" s="156">
        <f t="shared" si="240"/>
        <v>0</v>
      </c>
      <c r="P629" s="156">
        <f t="shared" si="240"/>
        <v>0</v>
      </c>
      <c r="Q629" s="156">
        <f t="shared" si="240"/>
        <v>0</v>
      </c>
      <c r="R629" s="156">
        <f t="shared" si="240"/>
        <v>0</v>
      </c>
      <c r="S629" s="156">
        <f t="shared" si="240"/>
        <v>0</v>
      </c>
      <c r="T629" s="156">
        <f t="shared" si="240"/>
        <v>0</v>
      </c>
      <c r="U629" s="156">
        <f t="shared" si="240"/>
        <v>0</v>
      </c>
      <c r="V629" s="156">
        <f t="shared" si="240"/>
        <v>0</v>
      </c>
      <c r="W629" s="156">
        <f t="shared" si="240"/>
        <v>0</v>
      </c>
      <c r="X629" s="156">
        <f t="shared" si="240"/>
        <v>0</v>
      </c>
      <c r="Y629" s="156">
        <f t="shared" si="240"/>
        <v>0</v>
      </c>
      <c r="Z629" s="156">
        <f t="shared" si="240"/>
        <v>0</v>
      </c>
      <c r="AA629" s="156">
        <f t="shared" si="240"/>
        <v>0</v>
      </c>
      <c r="AB629" s="156">
        <f t="shared" si="240"/>
        <v>0</v>
      </c>
      <c r="AC629" s="156">
        <f t="shared" si="240"/>
        <v>0</v>
      </c>
      <c r="AD629" s="156">
        <f t="shared" si="240"/>
        <v>-47064.25230088125</v>
      </c>
      <c r="AE629" s="156">
        <f t="shared" si="240"/>
        <v>0</v>
      </c>
      <c r="AF629" s="156">
        <f t="shared" si="240"/>
        <v>0</v>
      </c>
      <c r="AG629" s="156">
        <f t="shared" si="240"/>
        <v>0</v>
      </c>
      <c r="AH629" s="156">
        <f t="shared" si="240"/>
        <v>0</v>
      </c>
      <c r="AI629" s="156">
        <f t="shared" si="240"/>
        <v>0</v>
      </c>
      <c r="AJ629" s="156">
        <f t="shared" ref="AJ629:BO629" si="241">Forecast_year_dementia_cost*Forecast_year_mask</f>
        <v>0</v>
      </c>
      <c r="AK629" s="156">
        <f t="shared" si="241"/>
        <v>0</v>
      </c>
      <c r="AL629" s="156">
        <f t="shared" si="241"/>
        <v>0</v>
      </c>
      <c r="AM629" s="156">
        <f t="shared" si="241"/>
        <v>0</v>
      </c>
      <c r="AN629" s="156">
        <f t="shared" si="241"/>
        <v>0</v>
      </c>
      <c r="AO629" s="156">
        <f t="shared" si="241"/>
        <v>0</v>
      </c>
      <c r="AP629" s="156">
        <f t="shared" si="241"/>
        <v>0</v>
      </c>
      <c r="AQ629" s="156">
        <f t="shared" si="241"/>
        <v>0</v>
      </c>
      <c r="AR629" s="156">
        <f t="shared" si="241"/>
        <v>0</v>
      </c>
      <c r="AS629" s="156">
        <f t="shared" si="241"/>
        <v>0</v>
      </c>
      <c r="AT629" s="156">
        <f t="shared" si="241"/>
        <v>0</v>
      </c>
      <c r="AU629" s="156">
        <f t="shared" si="241"/>
        <v>0</v>
      </c>
      <c r="AV629" s="156">
        <f t="shared" si="241"/>
        <v>0</v>
      </c>
      <c r="AW629" s="156">
        <f t="shared" si="241"/>
        <v>0</v>
      </c>
      <c r="AX629" s="156">
        <f t="shared" si="241"/>
        <v>0</v>
      </c>
      <c r="AY629" s="156">
        <f t="shared" si="241"/>
        <v>0</v>
      </c>
      <c r="AZ629" s="156">
        <f t="shared" si="241"/>
        <v>0</v>
      </c>
      <c r="BA629" s="156">
        <f t="shared" si="241"/>
        <v>0</v>
      </c>
      <c r="BB629" s="156">
        <f t="shared" si="241"/>
        <v>0</v>
      </c>
      <c r="BC629" s="156">
        <f t="shared" si="241"/>
        <v>0</v>
      </c>
      <c r="BD629" s="156">
        <f t="shared" si="241"/>
        <v>0</v>
      </c>
      <c r="BE629" s="156">
        <f t="shared" si="241"/>
        <v>0</v>
      </c>
      <c r="BF629" s="156">
        <f t="shared" si="241"/>
        <v>0</v>
      </c>
      <c r="BG629" s="156">
        <f t="shared" si="241"/>
        <v>0</v>
      </c>
      <c r="BH629" s="156">
        <f t="shared" si="241"/>
        <v>0</v>
      </c>
      <c r="BI629" s="156">
        <f t="shared" si="241"/>
        <v>0</v>
      </c>
      <c r="BJ629" s="156">
        <f t="shared" si="241"/>
        <v>0</v>
      </c>
      <c r="BK629" s="156">
        <f t="shared" si="241"/>
        <v>0</v>
      </c>
      <c r="BL629" s="156">
        <f t="shared" si="241"/>
        <v>0</v>
      </c>
      <c r="BM629" s="156">
        <f t="shared" si="241"/>
        <v>0</v>
      </c>
      <c r="BN629" s="156">
        <f t="shared" si="241"/>
        <v>0</v>
      </c>
      <c r="BO629" s="156">
        <f t="shared" si="241"/>
        <v>0</v>
      </c>
      <c r="BP629" s="156">
        <f t="shared" ref="BP629:CP629" si="242">Forecast_year_dementia_cost*Forecast_year_mask</f>
        <v>0</v>
      </c>
      <c r="BQ629" s="156">
        <f t="shared" si="242"/>
        <v>0</v>
      </c>
      <c r="BR629" s="156">
        <f t="shared" si="242"/>
        <v>0</v>
      </c>
      <c r="BS629" s="156">
        <f t="shared" si="242"/>
        <v>0</v>
      </c>
      <c r="BT629" s="156">
        <f t="shared" si="242"/>
        <v>0</v>
      </c>
      <c r="BU629" s="156">
        <f t="shared" si="242"/>
        <v>0</v>
      </c>
      <c r="BV629" s="156">
        <f t="shared" si="242"/>
        <v>0</v>
      </c>
      <c r="BW629" s="156">
        <f t="shared" si="242"/>
        <v>0</v>
      </c>
      <c r="BX629" s="156">
        <f t="shared" si="242"/>
        <v>0</v>
      </c>
      <c r="BY629" s="156">
        <f t="shared" si="242"/>
        <v>0</v>
      </c>
      <c r="BZ629" s="156">
        <f t="shared" si="242"/>
        <v>0</v>
      </c>
      <c r="CA629" s="156">
        <f t="shared" si="242"/>
        <v>0</v>
      </c>
      <c r="CB629" s="156">
        <f t="shared" si="242"/>
        <v>0</v>
      </c>
      <c r="CC629" s="156">
        <f t="shared" si="242"/>
        <v>0</v>
      </c>
      <c r="CD629" s="156">
        <f t="shared" si="242"/>
        <v>0</v>
      </c>
      <c r="CE629" s="156">
        <f t="shared" si="242"/>
        <v>0</v>
      </c>
      <c r="CF629" s="156">
        <f t="shared" si="242"/>
        <v>0</v>
      </c>
      <c r="CG629" s="156">
        <f t="shared" si="242"/>
        <v>0</v>
      </c>
      <c r="CH629" s="156">
        <f t="shared" si="242"/>
        <v>0</v>
      </c>
      <c r="CI629" s="156">
        <f t="shared" si="242"/>
        <v>0</v>
      </c>
      <c r="CJ629" s="156">
        <f t="shared" si="242"/>
        <v>0</v>
      </c>
      <c r="CK629" s="156">
        <f t="shared" si="242"/>
        <v>0</v>
      </c>
      <c r="CL629" s="156">
        <f t="shared" si="242"/>
        <v>0</v>
      </c>
      <c r="CM629" s="156">
        <f t="shared" si="242"/>
        <v>0</v>
      </c>
      <c r="CN629" s="156">
        <f t="shared" si="242"/>
        <v>0</v>
      </c>
      <c r="CO629" s="156">
        <f t="shared" si="242"/>
        <v>0</v>
      </c>
      <c r="CP629" s="156">
        <f t="shared" si="242"/>
        <v>0</v>
      </c>
      <c r="CQ629" s="28" t="s">
        <v>456</v>
      </c>
    </row>
    <row r="630" spans="1:95" s="8" customFormat="1" ht="15" hidden="1" outlineLevel="2" x14ac:dyDescent="0.25">
      <c r="A630" s="89"/>
      <c r="B630" s="89" t="s">
        <v>414</v>
      </c>
      <c r="C630" s="89"/>
      <c r="D630" s="156">
        <f t="shared" ref="D630:AI630" si="243">(Opening_year_dementia_cost+(Difference_dementia_cost)*(year-Opening_year)/(Forecast_and_opening_year_difference))*Interpolation_mask</f>
        <v>0</v>
      </c>
      <c r="E630" s="156">
        <f t="shared" si="243"/>
        <v>0</v>
      </c>
      <c r="F630" s="156">
        <f t="shared" si="243"/>
        <v>0</v>
      </c>
      <c r="G630" s="156">
        <f t="shared" si="243"/>
        <v>0</v>
      </c>
      <c r="H630" s="156">
        <f t="shared" si="243"/>
        <v>0</v>
      </c>
      <c r="I630" s="156">
        <f t="shared" si="243"/>
        <v>0</v>
      </c>
      <c r="J630" s="156">
        <f t="shared" si="243"/>
        <v>0</v>
      </c>
      <c r="K630" s="156">
        <f t="shared" si="243"/>
        <v>0</v>
      </c>
      <c r="L630" s="156">
        <f t="shared" si="243"/>
        <v>0</v>
      </c>
      <c r="M630" s="156">
        <f t="shared" si="243"/>
        <v>0</v>
      </c>
      <c r="N630" s="156">
        <f t="shared" si="243"/>
        <v>0</v>
      </c>
      <c r="O630" s="156">
        <f t="shared" si="243"/>
        <v>0</v>
      </c>
      <c r="P630" s="156">
        <f t="shared" si="243"/>
        <v>0</v>
      </c>
      <c r="Q630" s="156">
        <f t="shared" si="243"/>
        <v>0</v>
      </c>
      <c r="R630" s="156">
        <f t="shared" si="243"/>
        <v>0</v>
      </c>
      <c r="S630" s="156">
        <f t="shared" si="243"/>
        <v>0</v>
      </c>
      <c r="T630" s="156">
        <f t="shared" si="243"/>
        <v>0</v>
      </c>
      <c r="U630" s="156">
        <f t="shared" si="243"/>
        <v>-51763.469761310247</v>
      </c>
      <c r="V630" s="156">
        <f t="shared" si="243"/>
        <v>-51241.334487929249</v>
      </c>
      <c r="W630" s="156">
        <f t="shared" si="243"/>
        <v>-50719.199214548244</v>
      </c>
      <c r="X630" s="156">
        <f t="shared" si="243"/>
        <v>-50197.063941167246</v>
      </c>
      <c r="Y630" s="156">
        <f t="shared" si="243"/>
        <v>-49674.928667786247</v>
      </c>
      <c r="Z630" s="156">
        <f t="shared" si="243"/>
        <v>-49152.793394405249</v>
      </c>
      <c r="AA630" s="156">
        <f t="shared" si="243"/>
        <v>-48630.658121024251</v>
      </c>
      <c r="AB630" s="156">
        <f t="shared" si="243"/>
        <v>-48108.522847643246</v>
      </c>
      <c r="AC630" s="156">
        <f t="shared" si="243"/>
        <v>-47586.387574262248</v>
      </c>
      <c r="AD630" s="156">
        <f t="shared" si="243"/>
        <v>0</v>
      </c>
      <c r="AE630" s="156">
        <f t="shared" si="243"/>
        <v>0</v>
      </c>
      <c r="AF630" s="156">
        <f t="shared" si="243"/>
        <v>0</v>
      </c>
      <c r="AG630" s="156">
        <f t="shared" si="243"/>
        <v>0</v>
      </c>
      <c r="AH630" s="156">
        <f t="shared" si="243"/>
        <v>0</v>
      </c>
      <c r="AI630" s="156">
        <f t="shared" si="243"/>
        <v>0</v>
      </c>
      <c r="AJ630" s="156">
        <f t="shared" ref="AJ630:BO630" si="244">(Opening_year_dementia_cost+(Difference_dementia_cost)*(year-Opening_year)/(Forecast_and_opening_year_difference))*Interpolation_mask</f>
        <v>0</v>
      </c>
      <c r="AK630" s="156">
        <f t="shared" si="244"/>
        <v>0</v>
      </c>
      <c r="AL630" s="156">
        <f t="shared" si="244"/>
        <v>0</v>
      </c>
      <c r="AM630" s="156">
        <f t="shared" si="244"/>
        <v>0</v>
      </c>
      <c r="AN630" s="156">
        <f t="shared" si="244"/>
        <v>0</v>
      </c>
      <c r="AO630" s="156">
        <f t="shared" si="244"/>
        <v>0</v>
      </c>
      <c r="AP630" s="156">
        <f t="shared" si="244"/>
        <v>0</v>
      </c>
      <c r="AQ630" s="156">
        <f t="shared" si="244"/>
        <v>0</v>
      </c>
      <c r="AR630" s="156">
        <f t="shared" si="244"/>
        <v>0</v>
      </c>
      <c r="AS630" s="156">
        <f t="shared" si="244"/>
        <v>0</v>
      </c>
      <c r="AT630" s="156">
        <f t="shared" si="244"/>
        <v>0</v>
      </c>
      <c r="AU630" s="156">
        <f t="shared" si="244"/>
        <v>0</v>
      </c>
      <c r="AV630" s="156">
        <f t="shared" si="244"/>
        <v>0</v>
      </c>
      <c r="AW630" s="156">
        <f t="shared" si="244"/>
        <v>0</v>
      </c>
      <c r="AX630" s="156">
        <f t="shared" si="244"/>
        <v>0</v>
      </c>
      <c r="AY630" s="156">
        <f t="shared" si="244"/>
        <v>0</v>
      </c>
      <c r="AZ630" s="156">
        <f t="shared" si="244"/>
        <v>0</v>
      </c>
      <c r="BA630" s="156">
        <f t="shared" si="244"/>
        <v>0</v>
      </c>
      <c r="BB630" s="156">
        <f t="shared" si="244"/>
        <v>0</v>
      </c>
      <c r="BC630" s="156">
        <f t="shared" si="244"/>
        <v>0</v>
      </c>
      <c r="BD630" s="156">
        <f t="shared" si="244"/>
        <v>0</v>
      </c>
      <c r="BE630" s="156">
        <f t="shared" si="244"/>
        <v>0</v>
      </c>
      <c r="BF630" s="156">
        <f t="shared" si="244"/>
        <v>0</v>
      </c>
      <c r="BG630" s="156">
        <f t="shared" si="244"/>
        <v>0</v>
      </c>
      <c r="BH630" s="156">
        <f t="shared" si="244"/>
        <v>0</v>
      </c>
      <c r="BI630" s="156">
        <f t="shared" si="244"/>
        <v>0</v>
      </c>
      <c r="BJ630" s="156">
        <f t="shared" si="244"/>
        <v>0</v>
      </c>
      <c r="BK630" s="156">
        <f t="shared" si="244"/>
        <v>0</v>
      </c>
      <c r="BL630" s="156">
        <f t="shared" si="244"/>
        <v>0</v>
      </c>
      <c r="BM630" s="156">
        <f t="shared" si="244"/>
        <v>0</v>
      </c>
      <c r="BN630" s="156">
        <f t="shared" si="244"/>
        <v>0</v>
      </c>
      <c r="BO630" s="156">
        <f t="shared" si="244"/>
        <v>0</v>
      </c>
      <c r="BP630" s="156">
        <f t="shared" ref="BP630:CP630" si="245">(Opening_year_dementia_cost+(Difference_dementia_cost)*(year-Opening_year)/(Forecast_and_opening_year_difference))*Interpolation_mask</f>
        <v>0</v>
      </c>
      <c r="BQ630" s="156">
        <f t="shared" si="245"/>
        <v>0</v>
      </c>
      <c r="BR630" s="156">
        <f t="shared" si="245"/>
        <v>0</v>
      </c>
      <c r="BS630" s="156">
        <f t="shared" si="245"/>
        <v>0</v>
      </c>
      <c r="BT630" s="156">
        <f t="shared" si="245"/>
        <v>0</v>
      </c>
      <c r="BU630" s="156">
        <f t="shared" si="245"/>
        <v>0</v>
      </c>
      <c r="BV630" s="156">
        <f t="shared" si="245"/>
        <v>0</v>
      </c>
      <c r="BW630" s="156">
        <f t="shared" si="245"/>
        <v>0</v>
      </c>
      <c r="BX630" s="156">
        <f t="shared" si="245"/>
        <v>0</v>
      </c>
      <c r="BY630" s="156">
        <f t="shared" si="245"/>
        <v>0</v>
      </c>
      <c r="BZ630" s="156">
        <f t="shared" si="245"/>
        <v>0</v>
      </c>
      <c r="CA630" s="156">
        <f t="shared" si="245"/>
        <v>0</v>
      </c>
      <c r="CB630" s="156">
        <f t="shared" si="245"/>
        <v>0</v>
      </c>
      <c r="CC630" s="156">
        <f t="shared" si="245"/>
        <v>0</v>
      </c>
      <c r="CD630" s="156">
        <f t="shared" si="245"/>
        <v>0</v>
      </c>
      <c r="CE630" s="156">
        <f t="shared" si="245"/>
        <v>0</v>
      </c>
      <c r="CF630" s="156">
        <f t="shared" si="245"/>
        <v>0</v>
      </c>
      <c r="CG630" s="156">
        <f t="shared" si="245"/>
        <v>0</v>
      </c>
      <c r="CH630" s="156">
        <f t="shared" si="245"/>
        <v>0</v>
      </c>
      <c r="CI630" s="156">
        <f t="shared" si="245"/>
        <v>0</v>
      </c>
      <c r="CJ630" s="156">
        <f t="shared" si="245"/>
        <v>0</v>
      </c>
      <c r="CK630" s="156">
        <f t="shared" si="245"/>
        <v>0</v>
      </c>
      <c r="CL630" s="156">
        <f t="shared" si="245"/>
        <v>0</v>
      </c>
      <c r="CM630" s="156">
        <f t="shared" si="245"/>
        <v>0</v>
      </c>
      <c r="CN630" s="156">
        <f t="shared" si="245"/>
        <v>0</v>
      </c>
      <c r="CO630" s="156">
        <f t="shared" si="245"/>
        <v>0</v>
      </c>
      <c r="CP630" s="156">
        <f t="shared" si="245"/>
        <v>0</v>
      </c>
      <c r="CQ630" s="28" t="s">
        <v>457</v>
      </c>
    </row>
    <row r="631" spans="1:95" s="8" customFormat="1" ht="15" hidden="1" outlineLevel="2" x14ac:dyDescent="0.25">
      <c r="A631" s="89"/>
      <c r="B631" s="89" t="s">
        <v>416</v>
      </c>
      <c r="C631" s="89"/>
      <c r="D631" s="156">
        <f t="shared" ref="D631:AI631" si="246">Forecast_year_dementia_cost*Extrapolation_mask</f>
        <v>0</v>
      </c>
      <c r="E631" s="156">
        <f t="shared" si="246"/>
        <v>0</v>
      </c>
      <c r="F631" s="156">
        <f t="shared" si="246"/>
        <v>0</v>
      </c>
      <c r="G631" s="156">
        <f t="shared" si="246"/>
        <v>0</v>
      </c>
      <c r="H631" s="156">
        <f t="shared" si="246"/>
        <v>0</v>
      </c>
      <c r="I631" s="156">
        <f t="shared" si="246"/>
        <v>0</v>
      </c>
      <c r="J631" s="156">
        <f t="shared" si="246"/>
        <v>0</v>
      </c>
      <c r="K631" s="156">
        <f t="shared" si="246"/>
        <v>0</v>
      </c>
      <c r="L631" s="156">
        <f t="shared" si="246"/>
        <v>0</v>
      </c>
      <c r="M631" s="156">
        <f t="shared" si="246"/>
        <v>0</v>
      </c>
      <c r="N631" s="156">
        <f t="shared" si="246"/>
        <v>0</v>
      </c>
      <c r="O631" s="156">
        <f t="shared" si="246"/>
        <v>0</v>
      </c>
      <c r="P631" s="156">
        <f t="shared" si="246"/>
        <v>0</v>
      </c>
      <c r="Q631" s="156">
        <f t="shared" si="246"/>
        <v>0</v>
      </c>
      <c r="R631" s="156">
        <f t="shared" si="246"/>
        <v>0</v>
      </c>
      <c r="S631" s="156">
        <f t="shared" si="246"/>
        <v>0</v>
      </c>
      <c r="T631" s="156">
        <f t="shared" si="246"/>
        <v>0</v>
      </c>
      <c r="U631" s="156">
        <f t="shared" si="246"/>
        <v>0</v>
      </c>
      <c r="V631" s="156">
        <f t="shared" si="246"/>
        <v>0</v>
      </c>
      <c r="W631" s="156">
        <f t="shared" si="246"/>
        <v>0</v>
      </c>
      <c r="X631" s="156">
        <f t="shared" si="246"/>
        <v>0</v>
      </c>
      <c r="Y631" s="156">
        <f t="shared" si="246"/>
        <v>0</v>
      </c>
      <c r="Z631" s="156">
        <f t="shared" si="246"/>
        <v>0</v>
      </c>
      <c r="AA631" s="156">
        <f t="shared" si="246"/>
        <v>0</v>
      </c>
      <c r="AB631" s="156">
        <f t="shared" si="246"/>
        <v>0</v>
      </c>
      <c r="AC631" s="156">
        <f t="shared" si="246"/>
        <v>0</v>
      </c>
      <c r="AD631" s="156">
        <f t="shared" si="246"/>
        <v>0</v>
      </c>
      <c r="AE631" s="156">
        <f t="shared" si="246"/>
        <v>-47064.25230088125</v>
      </c>
      <c r="AF631" s="156">
        <f t="shared" si="246"/>
        <v>-47064.25230088125</v>
      </c>
      <c r="AG631" s="156">
        <f t="shared" si="246"/>
        <v>-47064.25230088125</v>
      </c>
      <c r="AH631" s="156">
        <f t="shared" si="246"/>
        <v>-47064.25230088125</v>
      </c>
      <c r="AI631" s="156">
        <f t="shared" si="246"/>
        <v>-47064.25230088125</v>
      </c>
      <c r="AJ631" s="156">
        <f t="shared" ref="AJ631:BO631" si="247">Forecast_year_dementia_cost*Extrapolation_mask</f>
        <v>-47064.25230088125</v>
      </c>
      <c r="AK631" s="156">
        <f t="shared" si="247"/>
        <v>-47064.25230088125</v>
      </c>
      <c r="AL631" s="156">
        <f t="shared" si="247"/>
        <v>-47064.25230088125</v>
      </c>
      <c r="AM631" s="156">
        <f t="shared" si="247"/>
        <v>-47064.25230088125</v>
      </c>
      <c r="AN631" s="156">
        <f t="shared" si="247"/>
        <v>-47064.25230088125</v>
      </c>
      <c r="AO631" s="156">
        <f t="shared" si="247"/>
        <v>-47064.25230088125</v>
      </c>
      <c r="AP631" s="156">
        <f t="shared" si="247"/>
        <v>-47064.25230088125</v>
      </c>
      <c r="AQ631" s="156">
        <f t="shared" si="247"/>
        <v>-47064.25230088125</v>
      </c>
      <c r="AR631" s="156">
        <f t="shared" si="247"/>
        <v>-47064.25230088125</v>
      </c>
      <c r="AS631" s="156">
        <f t="shared" si="247"/>
        <v>-47064.25230088125</v>
      </c>
      <c r="AT631" s="156">
        <f t="shared" si="247"/>
        <v>-47064.25230088125</v>
      </c>
      <c r="AU631" s="156">
        <f t="shared" si="247"/>
        <v>-47064.25230088125</v>
      </c>
      <c r="AV631" s="156">
        <f t="shared" si="247"/>
        <v>-47064.25230088125</v>
      </c>
      <c r="AW631" s="156">
        <f t="shared" si="247"/>
        <v>-47064.25230088125</v>
      </c>
      <c r="AX631" s="156">
        <f t="shared" si="247"/>
        <v>-47064.25230088125</v>
      </c>
      <c r="AY631" s="156">
        <f t="shared" si="247"/>
        <v>-47064.25230088125</v>
      </c>
      <c r="AZ631" s="156">
        <f t="shared" si="247"/>
        <v>-47064.25230088125</v>
      </c>
      <c r="BA631" s="156">
        <f t="shared" si="247"/>
        <v>-47064.25230088125</v>
      </c>
      <c r="BB631" s="156">
        <f t="shared" si="247"/>
        <v>-47064.25230088125</v>
      </c>
      <c r="BC631" s="156">
        <f t="shared" si="247"/>
        <v>-47064.25230088125</v>
      </c>
      <c r="BD631" s="156">
        <f t="shared" si="247"/>
        <v>-47064.25230088125</v>
      </c>
      <c r="BE631" s="156">
        <f t="shared" si="247"/>
        <v>-47064.25230088125</v>
      </c>
      <c r="BF631" s="156">
        <f t="shared" si="247"/>
        <v>-47064.25230088125</v>
      </c>
      <c r="BG631" s="156">
        <f t="shared" si="247"/>
        <v>-47064.25230088125</v>
      </c>
      <c r="BH631" s="156">
        <f t="shared" si="247"/>
        <v>-47064.25230088125</v>
      </c>
      <c r="BI631" s="156">
        <f t="shared" si="247"/>
        <v>-47064.25230088125</v>
      </c>
      <c r="BJ631" s="156">
        <f t="shared" si="247"/>
        <v>-47064.25230088125</v>
      </c>
      <c r="BK631" s="156">
        <f t="shared" si="247"/>
        <v>-47064.25230088125</v>
      </c>
      <c r="BL631" s="156">
        <f t="shared" si="247"/>
        <v>-47064.25230088125</v>
      </c>
      <c r="BM631" s="156">
        <f t="shared" si="247"/>
        <v>-47064.25230088125</v>
      </c>
      <c r="BN631" s="156">
        <f t="shared" si="247"/>
        <v>-47064.25230088125</v>
      </c>
      <c r="BO631" s="156">
        <f t="shared" si="247"/>
        <v>-47064.25230088125</v>
      </c>
      <c r="BP631" s="156">
        <f t="shared" ref="BP631:CP631" si="248">Forecast_year_dementia_cost*Extrapolation_mask</f>
        <v>-47064.25230088125</v>
      </c>
      <c r="BQ631" s="156">
        <f t="shared" si="248"/>
        <v>-47064.25230088125</v>
      </c>
      <c r="BR631" s="156">
        <f t="shared" si="248"/>
        <v>-47064.25230088125</v>
      </c>
      <c r="BS631" s="156">
        <f t="shared" si="248"/>
        <v>-47064.25230088125</v>
      </c>
      <c r="BT631" s="156">
        <f t="shared" si="248"/>
        <v>-47064.25230088125</v>
      </c>
      <c r="BU631" s="156">
        <f t="shared" si="248"/>
        <v>-47064.25230088125</v>
      </c>
      <c r="BV631" s="156">
        <f t="shared" si="248"/>
        <v>-47064.25230088125</v>
      </c>
      <c r="BW631" s="156">
        <f t="shared" si="248"/>
        <v>-47064.25230088125</v>
      </c>
      <c r="BX631" s="156">
        <f t="shared" si="248"/>
        <v>-47064.25230088125</v>
      </c>
      <c r="BY631" s="156">
        <f t="shared" si="248"/>
        <v>-47064.25230088125</v>
      </c>
      <c r="BZ631" s="156">
        <f t="shared" si="248"/>
        <v>-47064.25230088125</v>
      </c>
      <c r="CA631" s="156">
        <f t="shared" si="248"/>
        <v>-47064.25230088125</v>
      </c>
      <c r="CB631" s="156">
        <f t="shared" si="248"/>
        <v>0</v>
      </c>
      <c r="CC631" s="156">
        <f t="shared" si="248"/>
        <v>0</v>
      </c>
      <c r="CD631" s="156">
        <f t="shared" si="248"/>
        <v>0</v>
      </c>
      <c r="CE631" s="156">
        <f t="shared" si="248"/>
        <v>0</v>
      </c>
      <c r="CF631" s="156">
        <f t="shared" si="248"/>
        <v>0</v>
      </c>
      <c r="CG631" s="156">
        <f t="shared" si="248"/>
        <v>0</v>
      </c>
      <c r="CH631" s="156">
        <f t="shared" si="248"/>
        <v>0</v>
      </c>
      <c r="CI631" s="156">
        <f t="shared" si="248"/>
        <v>0</v>
      </c>
      <c r="CJ631" s="156">
        <f t="shared" si="248"/>
        <v>0</v>
      </c>
      <c r="CK631" s="156">
        <f t="shared" si="248"/>
        <v>0</v>
      </c>
      <c r="CL631" s="156">
        <f t="shared" si="248"/>
        <v>0</v>
      </c>
      <c r="CM631" s="156">
        <f t="shared" si="248"/>
        <v>0</v>
      </c>
      <c r="CN631" s="156">
        <f t="shared" si="248"/>
        <v>0</v>
      </c>
      <c r="CO631" s="156">
        <f t="shared" si="248"/>
        <v>0</v>
      </c>
      <c r="CP631" s="156">
        <f t="shared" si="248"/>
        <v>0</v>
      </c>
      <c r="CQ631" s="28" t="s">
        <v>458</v>
      </c>
    </row>
    <row r="632" spans="1:95" s="8" customFormat="1" ht="15" hidden="1" outlineLevel="2" x14ac:dyDescent="0.25">
      <c r="A632" s="89"/>
      <c r="B632" s="89" t="s">
        <v>420</v>
      </c>
      <c r="C632" s="89"/>
      <c r="D632" s="156">
        <f t="shared" ref="D632:AI632" si="249">Opening_year_dementia_cost_mask+Forecast_year_dementia_cost_mask+Interpolation_dementia_cost_mask+Extrapolation_dementia_cost_mask</f>
        <v>0</v>
      </c>
      <c r="E632" s="156">
        <f t="shared" si="249"/>
        <v>0</v>
      </c>
      <c r="F632" s="156">
        <f t="shared" si="249"/>
        <v>0</v>
      </c>
      <c r="G632" s="156">
        <f t="shared" si="249"/>
        <v>0</v>
      </c>
      <c r="H632" s="156">
        <f t="shared" si="249"/>
        <v>0</v>
      </c>
      <c r="I632" s="156">
        <f t="shared" si="249"/>
        <v>0</v>
      </c>
      <c r="J632" s="156">
        <f t="shared" si="249"/>
        <v>0</v>
      </c>
      <c r="K632" s="156">
        <f t="shared" si="249"/>
        <v>0</v>
      </c>
      <c r="L632" s="156">
        <f t="shared" si="249"/>
        <v>0</v>
      </c>
      <c r="M632" s="156">
        <f t="shared" si="249"/>
        <v>0</v>
      </c>
      <c r="N632" s="156">
        <f t="shared" si="249"/>
        <v>0</v>
      </c>
      <c r="O632" s="156">
        <f t="shared" si="249"/>
        <v>0</v>
      </c>
      <c r="P632" s="156">
        <f t="shared" si="249"/>
        <v>0</v>
      </c>
      <c r="Q632" s="156">
        <f t="shared" si="249"/>
        <v>0</v>
      </c>
      <c r="R632" s="156">
        <f t="shared" si="249"/>
        <v>0</v>
      </c>
      <c r="S632" s="156">
        <f t="shared" si="249"/>
        <v>0</v>
      </c>
      <c r="T632" s="156">
        <f t="shared" si="249"/>
        <v>-52285.605034691245</v>
      </c>
      <c r="U632" s="156">
        <f t="shared" si="249"/>
        <v>-51763.469761310247</v>
      </c>
      <c r="V632" s="156">
        <f t="shared" si="249"/>
        <v>-51241.334487929249</v>
      </c>
      <c r="W632" s="156">
        <f t="shared" si="249"/>
        <v>-50719.199214548244</v>
      </c>
      <c r="X632" s="156">
        <f t="shared" si="249"/>
        <v>-50197.063941167246</v>
      </c>
      <c r="Y632" s="156">
        <f t="shared" si="249"/>
        <v>-49674.928667786247</v>
      </c>
      <c r="Z632" s="156">
        <f t="shared" si="249"/>
        <v>-49152.793394405249</v>
      </c>
      <c r="AA632" s="156">
        <f t="shared" si="249"/>
        <v>-48630.658121024251</v>
      </c>
      <c r="AB632" s="156">
        <f t="shared" si="249"/>
        <v>-48108.522847643246</v>
      </c>
      <c r="AC632" s="156">
        <f t="shared" si="249"/>
        <v>-47586.387574262248</v>
      </c>
      <c r="AD632" s="156">
        <f t="shared" si="249"/>
        <v>-47064.25230088125</v>
      </c>
      <c r="AE632" s="156">
        <f t="shared" si="249"/>
        <v>-47064.25230088125</v>
      </c>
      <c r="AF632" s="156">
        <f t="shared" si="249"/>
        <v>-47064.25230088125</v>
      </c>
      <c r="AG632" s="156">
        <f t="shared" si="249"/>
        <v>-47064.25230088125</v>
      </c>
      <c r="AH632" s="156">
        <f t="shared" si="249"/>
        <v>-47064.25230088125</v>
      </c>
      <c r="AI632" s="156">
        <f t="shared" si="249"/>
        <v>-47064.25230088125</v>
      </c>
      <c r="AJ632" s="156">
        <f t="shared" ref="AJ632:BO632" si="250">Opening_year_dementia_cost_mask+Forecast_year_dementia_cost_mask+Interpolation_dementia_cost_mask+Extrapolation_dementia_cost_mask</f>
        <v>-47064.25230088125</v>
      </c>
      <c r="AK632" s="156">
        <f t="shared" si="250"/>
        <v>-47064.25230088125</v>
      </c>
      <c r="AL632" s="156">
        <f t="shared" si="250"/>
        <v>-47064.25230088125</v>
      </c>
      <c r="AM632" s="156">
        <f t="shared" si="250"/>
        <v>-47064.25230088125</v>
      </c>
      <c r="AN632" s="156">
        <f t="shared" si="250"/>
        <v>-47064.25230088125</v>
      </c>
      <c r="AO632" s="156">
        <f t="shared" si="250"/>
        <v>-47064.25230088125</v>
      </c>
      <c r="AP632" s="156">
        <f t="shared" si="250"/>
        <v>-47064.25230088125</v>
      </c>
      <c r="AQ632" s="156">
        <f t="shared" si="250"/>
        <v>-47064.25230088125</v>
      </c>
      <c r="AR632" s="156">
        <f t="shared" si="250"/>
        <v>-47064.25230088125</v>
      </c>
      <c r="AS632" s="156">
        <f t="shared" si="250"/>
        <v>-47064.25230088125</v>
      </c>
      <c r="AT632" s="156">
        <f t="shared" si="250"/>
        <v>-47064.25230088125</v>
      </c>
      <c r="AU632" s="156">
        <f t="shared" si="250"/>
        <v>-47064.25230088125</v>
      </c>
      <c r="AV632" s="156">
        <f t="shared" si="250"/>
        <v>-47064.25230088125</v>
      </c>
      <c r="AW632" s="156">
        <f t="shared" si="250"/>
        <v>-47064.25230088125</v>
      </c>
      <c r="AX632" s="156">
        <f t="shared" si="250"/>
        <v>-47064.25230088125</v>
      </c>
      <c r="AY632" s="156">
        <f t="shared" si="250"/>
        <v>-47064.25230088125</v>
      </c>
      <c r="AZ632" s="156">
        <f t="shared" si="250"/>
        <v>-47064.25230088125</v>
      </c>
      <c r="BA632" s="156">
        <f t="shared" si="250"/>
        <v>-47064.25230088125</v>
      </c>
      <c r="BB632" s="156">
        <f t="shared" si="250"/>
        <v>-47064.25230088125</v>
      </c>
      <c r="BC632" s="156">
        <f t="shared" si="250"/>
        <v>-47064.25230088125</v>
      </c>
      <c r="BD632" s="156">
        <f t="shared" si="250"/>
        <v>-47064.25230088125</v>
      </c>
      <c r="BE632" s="156">
        <f t="shared" si="250"/>
        <v>-47064.25230088125</v>
      </c>
      <c r="BF632" s="156">
        <f t="shared" si="250"/>
        <v>-47064.25230088125</v>
      </c>
      <c r="BG632" s="156">
        <f t="shared" si="250"/>
        <v>-47064.25230088125</v>
      </c>
      <c r="BH632" s="156">
        <f t="shared" si="250"/>
        <v>-47064.25230088125</v>
      </c>
      <c r="BI632" s="156">
        <f t="shared" si="250"/>
        <v>-47064.25230088125</v>
      </c>
      <c r="BJ632" s="156">
        <f t="shared" si="250"/>
        <v>-47064.25230088125</v>
      </c>
      <c r="BK632" s="156">
        <f t="shared" si="250"/>
        <v>-47064.25230088125</v>
      </c>
      <c r="BL632" s="156">
        <f t="shared" si="250"/>
        <v>-47064.25230088125</v>
      </c>
      <c r="BM632" s="156">
        <f t="shared" si="250"/>
        <v>-47064.25230088125</v>
      </c>
      <c r="BN632" s="156">
        <f t="shared" si="250"/>
        <v>-47064.25230088125</v>
      </c>
      <c r="BO632" s="156">
        <f t="shared" si="250"/>
        <v>-47064.25230088125</v>
      </c>
      <c r="BP632" s="156">
        <f t="shared" ref="BP632:CP632" si="251">Opening_year_dementia_cost_mask+Forecast_year_dementia_cost_mask+Interpolation_dementia_cost_mask+Extrapolation_dementia_cost_mask</f>
        <v>-47064.25230088125</v>
      </c>
      <c r="BQ632" s="156">
        <f t="shared" si="251"/>
        <v>-47064.25230088125</v>
      </c>
      <c r="BR632" s="156">
        <f t="shared" si="251"/>
        <v>-47064.25230088125</v>
      </c>
      <c r="BS632" s="156">
        <f t="shared" si="251"/>
        <v>-47064.25230088125</v>
      </c>
      <c r="BT632" s="156">
        <f t="shared" si="251"/>
        <v>-47064.25230088125</v>
      </c>
      <c r="BU632" s="156">
        <f t="shared" si="251"/>
        <v>-47064.25230088125</v>
      </c>
      <c r="BV632" s="156">
        <f t="shared" si="251"/>
        <v>-47064.25230088125</v>
      </c>
      <c r="BW632" s="156">
        <f t="shared" si="251"/>
        <v>-47064.25230088125</v>
      </c>
      <c r="BX632" s="156">
        <f t="shared" si="251"/>
        <v>-47064.25230088125</v>
      </c>
      <c r="BY632" s="156">
        <f t="shared" si="251"/>
        <v>-47064.25230088125</v>
      </c>
      <c r="BZ632" s="156">
        <f t="shared" si="251"/>
        <v>-47064.25230088125</v>
      </c>
      <c r="CA632" s="156">
        <f t="shared" si="251"/>
        <v>-47064.25230088125</v>
      </c>
      <c r="CB632" s="156">
        <f t="shared" si="251"/>
        <v>0</v>
      </c>
      <c r="CC632" s="156">
        <f t="shared" si="251"/>
        <v>0</v>
      </c>
      <c r="CD632" s="156">
        <f t="shared" si="251"/>
        <v>0</v>
      </c>
      <c r="CE632" s="156">
        <f t="shared" si="251"/>
        <v>0</v>
      </c>
      <c r="CF632" s="156">
        <f t="shared" si="251"/>
        <v>0</v>
      </c>
      <c r="CG632" s="156">
        <f t="shared" si="251"/>
        <v>0</v>
      </c>
      <c r="CH632" s="156">
        <f t="shared" si="251"/>
        <v>0</v>
      </c>
      <c r="CI632" s="156">
        <f t="shared" si="251"/>
        <v>0</v>
      </c>
      <c r="CJ632" s="156">
        <f t="shared" si="251"/>
        <v>0</v>
      </c>
      <c r="CK632" s="156">
        <f t="shared" si="251"/>
        <v>0</v>
      </c>
      <c r="CL632" s="156">
        <f t="shared" si="251"/>
        <v>0</v>
      </c>
      <c r="CM632" s="156">
        <f t="shared" si="251"/>
        <v>0</v>
      </c>
      <c r="CN632" s="156">
        <f t="shared" si="251"/>
        <v>0</v>
      </c>
      <c r="CO632" s="156">
        <f t="shared" si="251"/>
        <v>0</v>
      </c>
      <c r="CP632" s="156">
        <f t="shared" si="251"/>
        <v>0</v>
      </c>
      <c r="CQ632" s="28" t="s">
        <v>459</v>
      </c>
    </row>
    <row r="633" spans="1:95" s="8" customFormat="1" ht="15" hidden="1" outlineLevel="2" x14ac:dyDescent="0.25">
      <c r="A633" s="89"/>
      <c r="B633" s="89"/>
      <c r="C633" s="89"/>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A633" s="157"/>
      <c r="BB633" s="157"/>
      <c r="BC633" s="157"/>
      <c r="BD633" s="157"/>
      <c r="BE633" s="157"/>
      <c r="BF633" s="157"/>
      <c r="BG633" s="157"/>
      <c r="BH633" s="157"/>
      <c r="BI633" s="157"/>
      <c r="BJ633" s="157"/>
      <c r="BK633" s="157"/>
      <c r="BL633" s="157"/>
      <c r="BM633" s="157"/>
      <c r="BN633" s="157"/>
      <c r="BO633" s="157"/>
      <c r="BP633" s="157"/>
      <c r="BQ633" s="157"/>
      <c r="BR633" s="157"/>
      <c r="BS633" s="157"/>
      <c r="BT633" s="157"/>
      <c r="BU633" s="157"/>
      <c r="BV633" s="157"/>
      <c r="BW633" s="157"/>
      <c r="BX633" s="157"/>
      <c r="BY633" s="157"/>
      <c r="BZ633" s="157"/>
      <c r="CA633" s="157"/>
      <c r="CB633" s="157"/>
      <c r="CC633" s="157"/>
      <c r="CD633" s="157"/>
      <c r="CE633" s="157"/>
      <c r="CF633" s="157"/>
      <c r="CG633" s="157"/>
      <c r="CH633" s="157"/>
      <c r="CI633" s="157"/>
      <c r="CJ633" s="157"/>
      <c r="CK633" s="157"/>
      <c r="CL633" s="157"/>
      <c r="CM633" s="157"/>
      <c r="CN633" s="157"/>
      <c r="CO633" s="157"/>
      <c r="CP633" s="157"/>
      <c r="CQ633" s="28"/>
    </row>
    <row r="634" spans="1:95" s="5" customFormat="1" ht="15.75" hidden="1" outlineLevel="2" x14ac:dyDescent="0.25">
      <c r="B634" s="5" t="s">
        <v>421</v>
      </c>
    </row>
    <row r="635" spans="1:95" ht="15" hidden="1" outlineLevel="2" x14ac:dyDescent="0.25">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c r="AO635" s="131"/>
      <c r="AP635" s="131"/>
      <c r="AQ635" s="131"/>
      <c r="AR635" s="131"/>
      <c r="AS635" s="131"/>
      <c r="AT635" s="131"/>
      <c r="AU635" s="131"/>
      <c r="AV635" s="131"/>
      <c r="AW635" s="131"/>
      <c r="AX635" s="131"/>
      <c r="AY635" s="131"/>
      <c r="AZ635" s="131"/>
      <c r="BA635" s="131"/>
      <c r="BB635" s="131"/>
      <c r="BC635" s="131"/>
      <c r="BD635" s="131"/>
      <c r="BE635" s="131"/>
      <c r="BF635" s="131"/>
      <c r="BG635" s="131"/>
      <c r="BH635" s="131"/>
      <c r="BI635" s="131"/>
      <c r="BJ635" s="131"/>
      <c r="BK635" s="131"/>
      <c r="BL635" s="131"/>
      <c r="BM635" s="131"/>
      <c r="BN635" s="131"/>
      <c r="BO635" s="131"/>
      <c r="BP635" s="131"/>
      <c r="BQ635" s="131"/>
      <c r="BR635" s="131"/>
      <c r="BS635" s="131"/>
      <c r="BT635" s="131"/>
      <c r="BU635" s="131"/>
      <c r="BV635" s="131"/>
      <c r="BW635" s="131"/>
      <c r="BX635" s="131"/>
      <c r="BY635" s="131"/>
      <c r="BZ635" s="131"/>
      <c r="CA635" s="131"/>
      <c r="CB635" s="131"/>
      <c r="CC635" s="131"/>
      <c r="CD635" s="131"/>
      <c r="CE635" s="131"/>
      <c r="CF635" s="131"/>
      <c r="CG635" s="131"/>
      <c r="CH635" s="131"/>
      <c r="CI635" s="131"/>
      <c r="CJ635" s="131"/>
      <c r="CK635" s="131"/>
      <c r="CL635" s="131"/>
      <c r="CM635" s="131"/>
      <c r="CN635" s="131"/>
      <c r="CO635" s="131"/>
      <c r="CP635" s="131"/>
      <c r="CQ635" s="131"/>
    </row>
    <row r="636" spans="1:95" ht="15" hidden="1" outlineLevel="2" x14ac:dyDescent="0.25">
      <c r="A636" s="131"/>
      <c r="B636" s="131"/>
      <c r="C636" s="131"/>
      <c r="D636" s="16">
        <v>2010</v>
      </c>
      <c r="E636" s="16">
        <v>2011</v>
      </c>
      <c r="F636" s="16">
        <v>2012</v>
      </c>
      <c r="G636" s="16">
        <v>2013</v>
      </c>
      <c r="H636" s="16">
        <v>2014</v>
      </c>
      <c r="I636" s="16">
        <v>2015</v>
      </c>
      <c r="J636" s="16">
        <v>2016</v>
      </c>
      <c r="K636" s="16">
        <v>2017</v>
      </c>
      <c r="L636" s="16">
        <v>2018</v>
      </c>
      <c r="M636" s="16">
        <v>2019</v>
      </c>
      <c r="N636" s="16">
        <v>2020</v>
      </c>
      <c r="O636" s="16">
        <v>2021</v>
      </c>
      <c r="P636" s="16">
        <v>2022</v>
      </c>
      <c r="Q636" s="16">
        <v>2023</v>
      </c>
      <c r="R636" s="16">
        <v>2024</v>
      </c>
      <c r="S636" s="16">
        <v>2025</v>
      </c>
      <c r="T636" s="16">
        <v>2026</v>
      </c>
      <c r="U636" s="16">
        <v>2027</v>
      </c>
      <c r="V636" s="16">
        <v>2028</v>
      </c>
      <c r="W636" s="16">
        <v>2029</v>
      </c>
      <c r="X636" s="16">
        <v>2030</v>
      </c>
      <c r="Y636" s="16">
        <v>2031</v>
      </c>
      <c r="Z636" s="16">
        <v>2032</v>
      </c>
      <c r="AA636" s="16">
        <v>2033</v>
      </c>
      <c r="AB636" s="16">
        <v>2034</v>
      </c>
      <c r="AC636" s="16">
        <v>2035</v>
      </c>
      <c r="AD636" s="16">
        <v>2036</v>
      </c>
      <c r="AE636" s="16">
        <v>2037</v>
      </c>
      <c r="AF636" s="16">
        <v>2038</v>
      </c>
      <c r="AG636" s="16">
        <v>2039</v>
      </c>
      <c r="AH636" s="16">
        <v>2040</v>
      </c>
      <c r="AI636" s="16">
        <v>2041</v>
      </c>
      <c r="AJ636" s="16">
        <v>2042</v>
      </c>
      <c r="AK636" s="16">
        <v>2043</v>
      </c>
      <c r="AL636" s="16">
        <v>2044</v>
      </c>
      <c r="AM636" s="16">
        <v>2045</v>
      </c>
      <c r="AN636" s="16">
        <v>2046</v>
      </c>
      <c r="AO636" s="16">
        <v>2047</v>
      </c>
      <c r="AP636" s="16">
        <v>2048</v>
      </c>
      <c r="AQ636" s="16">
        <v>2049</v>
      </c>
      <c r="AR636" s="16">
        <v>2050</v>
      </c>
      <c r="AS636" s="16">
        <v>2051</v>
      </c>
      <c r="AT636" s="16">
        <v>2052</v>
      </c>
      <c r="AU636" s="16">
        <v>2053</v>
      </c>
      <c r="AV636" s="16">
        <v>2054</v>
      </c>
      <c r="AW636" s="16">
        <v>2055</v>
      </c>
      <c r="AX636" s="16">
        <v>2056</v>
      </c>
      <c r="AY636" s="16">
        <v>2057</v>
      </c>
      <c r="AZ636" s="16">
        <v>2058</v>
      </c>
      <c r="BA636" s="16">
        <v>2059</v>
      </c>
      <c r="BB636" s="16">
        <v>2060</v>
      </c>
      <c r="BC636" s="16">
        <v>2061</v>
      </c>
      <c r="BD636" s="16">
        <v>2062</v>
      </c>
      <c r="BE636" s="16">
        <v>2063</v>
      </c>
      <c r="BF636" s="16">
        <v>2064</v>
      </c>
      <c r="BG636" s="16">
        <v>2065</v>
      </c>
      <c r="BH636" s="16">
        <v>2066</v>
      </c>
      <c r="BI636" s="16">
        <v>2067</v>
      </c>
      <c r="BJ636" s="16">
        <v>2068</v>
      </c>
      <c r="BK636" s="16">
        <v>2069</v>
      </c>
      <c r="BL636" s="16">
        <v>2070</v>
      </c>
      <c r="BM636" s="16">
        <v>2071</v>
      </c>
      <c r="BN636" s="16">
        <v>2072</v>
      </c>
      <c r="BO636" s="16">
        <v>2073</v>
      </c>
      <c r="BP636" s="16">
        <v>2074</v>
      </c>
      <c r="BQ636" s="16">
        <v>2075</v>
      </c>
      <c r="BR636" s="16">
        <v>2076</v>
      </c>
      <c r="BS636" s="16">
        <v>2077</v>
      </c>
      <c r="BT636" s="16">
        <v>2078</v>
      </c>
      <c r="BU636" s="16">
        <v>2079</v>
      </c>
      <c r="BV636" s="16">
        <v>2080</v>
      </c>
      <c r="BW636" s="16">
        <v>2081</v>
      </c>
      <c r="BX636" s="16">
        <v>2082</v>
      </c>
      <c r="BY636" s="16">
        <v>2083</v>
      </c>
      <c r="BZ636" s="16">
        <v>2084</v>
      </c>
      <c r="CA636" s="16">
        <v>2085</v>
      </c>
      <c r="CB636" s="16">
        <v>2086</v>
      </c>
      <c r="CC636" s="16">
        <v>2087</v>
      </c>
      <c r="CD636" s="16">
        <v>2088</v>
      </c>
      <c r="CE636" s="16">
        <v>2089</v>
      </c>
      <c r="CF636" s="16">
        <v>2090</v>
      </c>
      <c r="CG636" s="16">
        <v>2091</v>
      </c>
      <c r="CH636" s="16">
        <v>2092</v>
      </c>
      <c r="CI636" s="16">
        <v>2093</v>
      </c>
      <c r="CJ636" s="16">
        <v>2094</v>
      </c>
      <c r="CK636" s="16">
        <v>2095</v>
      </c>
      <c r="CL636" s="16">
        <v>2096</v>
      </c>
      <c r="CM636" s="16">
        <v>2097</v>
      </c>
      <c r="CN636" s="16">
        <v>2098</v>
      </c>
      <c r="CO636" s="16">
        <v>2099</v>
      </c>
      <c r="CP636" s="16">
        <v>2100</v>
      </c>
      <c r="CQ636" s="131"/>
    </row>
    <row r="637" spans="1:95" ht="15" hidden="1" outlineLevel="2" x14ac:dyDescent="0.25">
      <c r="A637" s="131"/>
      <c r="B637" s="131" t="s">
        <v>422</v>
      </c>
      <c r="C637" s="131"/>
      <c r="D637" s="158">
        <f t="shared" ref="D637:AI637" si="252">GDP_deflator_in</f>
        <v>100</v>
      </c>
      <c r="E637" s="158">
        <f t="shared" si="252"/>
        <v>102.09764922517954</v>
      </c>
      <c r="F637" s="158">
        <f t="shared" si="252"/>
        <v>103.75523443713455</v>
      </c>
      <c r="G637" s="158">
        <f t="shared" si="252"/>
        <v>105.81198752021939</v>
      </c>
      <c r="H637" s="158">
        <f t="shared" si="252"/>
        <v>107.62142656505769</v>
      </c>
      <c r="I637" s="158">
        <f t="shared" si="252"/>
        <v>108.91288368383837</v>
      </c>
      <c r="J637" s="158">
        <f t="shared" si="252"/>
        <v>110.6554898227798</v>
      </c>
      <c r="K637" s="158">
        <f t="shared" si="252"/>
        <v>112.64728863958983</v>
      </c>
      <c r="L637" s="158">
        <f t="shared" si="252"/>
        <v>114.78758712374204</v>
      </c>
      <c r="M637" s="158">
        <f t="shared" si="252"/>
        <v>117.08333886621689</v>
      </c>
      <c r="N637" s="158">
        <f t="shared" si="252"/>
        <v>119.65917232127366</v>
      </c>
      <c r="O637" s="158">
        <f t="shared" si="252"/>
        <v>122.32158890542199</v>
      </c>
      <c r="P637" s="158">
        <f t="shared" si="252"/>
        <v>125.073824655794</v>
      </c>
      <c r="Q637" s="158">
        <f t="shared" si="252"/>
        <v>127.9192541667133</v>
      </c>
      <c r="R637" s="158">
        <f t="shared" si="252"/>
        <v>130.86139701254771</v>
      </c>
      <c r="S637" s="158">
        <f t="shared" si="252"/>
        <v>133.87120914383627</v>
      </c>
      <c r="T637" s="158">
        <f t="shared" si="252"/>
        <v>136.95024695414452</v>
      </c>
      <c r="U637" s="158">
        <f t="shared" si="252"/>
        <v>140.10010263408984</v>
      </c>
      <c r="V637" s="158">
        <f t="shared" si="252"/>
        <v>143.32240499467389</v>
      </c>
      <c r="W637" s="158">
        <f t="shared" si="252"/>
        <v>146.61882030955135</v>
      </c>
      <c r="X637" s="158">
        <f t="shared" si="252"/>
        <v>149.99105317667102</v>
      </c>
      <c r="Y637" s="158">
        <f t="shared" si="252"/>
        <v>153.44084739973445</v>
      </c>
      <c r="Z637" s="158">
        <f t="shared" si="252"/>
        <v>156.96998688992835</v>
      </c>
      <c r="AA637" s="158">
        <f t="shared" si="252"/>
        <v>160.58029658839666</v>
      </c>
      <c r="AB637" s="158">
        <f t="shared" si="252"/>
        <v>164.2736434099298</v>
      </c>
      <c r="AC637" s="158">
        <f t="shared" si="252"/>
        <v>168.05193720835817</v>
      </c>
      <c r="AD637" s="158">
        <f t="shared" si="252"/>
        <v>171.91713176415041</v>
      </c>
      <c r="AE637" s="158">
        <f t="shared" si="252"/>
        <v>175.87122579472586</v>
      </c>
      <c r="AF637" s="158">
        <f t="shared" si="252"/>
        <v>179.91626398800452</v>
      </c>
      <c r="AG637" s="158">
        <f t="shared" si="252"/>
        <v>184.05433805972862</v>
      </c>
      <c r="AH637" s="158">
        <f t="shared" si="252"/>
        <v>188.28758783510236</v>
      </c>
      <c r="AI637" s="158">
        <f t="shared" si="252"/>
        <v>192.61820235530971</v>
      </c>
      <c r="AJ637" s="158">
        <f t="shared" ref="AJ637:BO637" si="253">GDP_deflator_in</f>
        <v>197.04842100948181</v>
      </c>
      <c r="AK637" s="158">
        <f t="shared" si="253"/>
        <v>201.5805346926999</v>
      </c>
      <c r="AL637" s="158">
        <f t="shared" si="253"/>
        <v>206.21688699063196</v>
      </c>
      <c r="AM637" s="158">
        <f t="shared" si="253"/>
        <v>210.95987539141649</v>
      </c>
      <c r="AN637" s="158">
        <f t="shared" si="253"/>
        <v>215.81195252541906</v>
      </c>
      <c r="AO637" s="158">
        <f t="shared" si="253"/>
        <v>220.77562743350364</v>
      </c>
      <c r="AP637" s="158">
        <f t="shared" si="253"/>
        <v>225.85346686447423</v>
      </c>
      <c r="AQ637" s="158">
        <f t="shared" si="253"/>
        <v>231.04809660235711</v>
      </c>
      <c r="AR637" s="158">
        <f t="shared" si="253"/>
        <v>236.36220282421129</v>
      </c>
      <c r="AS637" s="158">
        <f t="shared" si="253"/>
        <v>241.79853348916814</v>
      </c>
      <c r="AT637" s="158">
        <f t="shared" si="253"/>
        <v>247.35989975941899</v>
      </c>
      <c r="AU637" s="158">
        <f t="shared" si="253"/>
        <v>253.04917745388562</v>
      </c>
      <c r="AV637" s="158">
        <f t="shared" si="253"/>
        <v>258.86930853532493</v>
      </c>
      <c r="AW637" s="158">
        <f t="shared" si="253"/>
        <v>264.82330263163743</v>
      </c>
      <c r="AX637" s="158">
        <f t="shared" si="253"/>
        <v>270.91423859216508</v>
      </c>
      <c r="AY637" s="158">
        <f t="shared" si="253"/>
        <v>277.14526607978485</v>
      </c>
      <c r="AZ637" s="158">
        <f t="shared" si="253"/>
        <v>283.51960719961983</v>
      </c>
      <c r="BA637" s="158">
        <f t="shared" si="253"/>
        <v>290.04055816521105</v>
      </c>
      <c r="BB637" s="158">
        <f t="shared" si="253"/>
        <v>296.71149100301085</v>
      </c>
      <c r="BC637" s="158">
        <f t="shared" si="253"/>
        <v>303.53585529608006</v>
      </c>
      <c r="BD637" s="158">
        <f t="shared" si="253"/>
        <v>310.51717996788989</v>
      </c>
      <c r="BE637" s="158">
        <f t="shared" si="253"/>
        <v>317.65907510715135</v>
      </c>
      <c r="BF637" s="158">
        <f t="shared" si="253"/>
        <v>324.96523383461579</v>
      </c>
      <c r="BG637" s="158">
        <f t="shared" si="253"/>
        <v>332.43943421281193</v>
      </c>
      <c r="BH637" s="158">
        <f t="shared" si="253"/>
        <v>340.0855411997066</v>
      </c>
      <c r="BI637" s="158">
        <f t="shared" si="253"/>
        <v>347.90750864729984</v>
      </c>
      <c r="BJ637" s="158">
        <f t="shared" si="253"/>
        <v>355.90938134618773</v>
      </c>
      <c r="BK637" s="158">
        <f t="shared" si="253"/>
        <v>364.09529711714998</v>
      </c>
      <c r="BL637" s="158">
        <f t="shared" si="253"/>
        <v>372.46948895084444</v>
      </c>
      <c r="BM637" s="158">
        <f t="shared" si="253"/>
        <v>381.03628719671383</v>
      </c>
      <c r="BN637" s="158">
        <f t="shared" si="253"/>
        <v>389.80012180223821</v>
      </c>
      <c r="BO637" s="158">
        <f t="shared" si="253"/>
        <v>398.76552460368964</v>
      </c>
      <c r="BP637" s="158">
        <f t="shared" ref="BP637:CP637" si="254">GDP_deflator_in</f>
        <v>407.93713166957451</v>
      </c>
      <c r="BQ637" s="158">
        <f t="shared" si="254"/>
        <v>417.31968569797465</v>
      </c>
      <c r="BR637" s="158">
        <f t="shared" si="254"/>
        <v>426.91803846902803</v>
      </c>
      <c r="BS637" s="158">
        <f t="shared" si="254"/>
        <v>436.73715335381553</v>
      </c>
      <c r="BT637" s="158">
        <f t="shared" si="254"/>
        <v>446.78210788095328</v>
      </c>
      <c r="BU637" s="158">
        <f t="shared" si="254"/>
        <v>457.05809636221517</v>
      </c>
      <c r="BV637" s="158">
        <f t="shared" si="254"/>
        <v>467.57043257854605</v>
      </c>
      <c r="BW637" s="158">
        <f t="shared" si="254"/>
        <v>478.32455252785257</v>
      </c>
      <c r="BX637" s="158">
        <f t="shared" si="254"/>
        <v>489.32601723599316</v>
      </c>
      <c r="BY637" s="158">
        <f t="shared" si="254"/>
        <v>500.580515632421</v>
      </c>
      <c r="BZ637" s="158">
        <f t="shared" si="254"/>
        <v>512.09386749196653</v>
      </c>
      <c r="CA637" s="158">
        <f t="shared" si="254"/>
        <v>523.8720264442818</v>
      </c>
      <c r="CB637" s="158">
        <f t="shared" si="254"/>
        <v>535.92108305250019</v>
      </c>
      <c r="CC637" s="158">
        <f t="shared" si="254"/>
        <v>548.24726796270761</v>
      </c>
      <c r="CD637" s="158">
        <f t="shared" si="254"/>
        <v>560.85695512584971</v>
      </c>
      <c r="CE637" s="158">
        <f t="shared" si="254"/>
        <v>573.75666509374435</v>
      </c>
      <c r="CF637" s="158">
        <f t="shared" si="254"/>
        <v>586.9530683909004</v>
      </c>
      <c r="CG637" s="158">
        <f t="shared" si="254"/>
        <v>600.45298896389113</v>
      </c>
      <c r="CH637" s="158">
        <f t="shared" si="254"/>
        <v>614.26340771006062</v>
      </c>
      <c r="CI637" s="158">
        <f t="shared" si="254"/>
        <v>628.3914660873919</v>
      </c>
      <c r="CJ637" s="158">
        <f t="shared" si="254"/>
        <v>642.84446980740199</v>
      </c>
      <c r="CK637" s="158">
        <f t="shared" si="254"/>
        <v>657.62989261297207</v>
      </c>
      <c r="CL637" s="158">
        <f t="shared" si="254"/>
        <v>672.7553801430704</v>
      </c>
      <c r="CM637" s="158">
        <f t="shared" si="254"/>
        <v>688.22875388636101</v>
      </c>
      <c r="CN637" s="158">
        <f t="shared" si="254"/>
        <v>704.05801522574723</v>
      </c>
      <c r="CO637" s="158">
        <f t="shared" si="254"/>
        <v>720.25134957593946</v>
      </c>
      <c r="CP637" s="158">
        <f t="shared" si="254"/>
        <v>736.81713061618598</v>
      </c>
      <c r="CQ637" s="3" t="s">
        <v>423</v>
      </c>
    </row>
    <row r="638" spans="1:95" ht="15" hidden="1" outlineLevel="2" x14ac:dyDescent="0.25">
      <c r="A638" s="131"/>
      <c r="B638" s="131" t="s">
        <v>95</v>
      </c>
      <c r="C638" s="131"/>
      <c r="D638" s="158">
        <f t="shared" ref="D638:AI638" si="255">GDP_capita_in</f>
        <v>135.85383747114122</v>
      </c>
      <c r="E638" s="158">
        <f t="shared" si="255"/>
        <v>137.3826648308017</v>
      </c>
      <c r="F638" s="158">
        <f t="shared" si="255"/>
        <v>138.08630695240888</v>
      </c>
      <c r="G638" s="158">
        <f t="shared" si="255"/>
        <v>140.18723816056195</v>
      </c>
      <c r="H638" s="158">
        <f t="shared" si="255"/>
        <v>143.2119036053553</v>
      </c>
      <c r="I638" s="158">
        <f t="shared" si="255"/>
        <v>145.58598084879083</v>
      </c>
      <c r="J638" s="158">
        <f t="shared" si="255"/>
        <v>148.04707411766867</v>
      </c>
      <c r="K638" s="158">
        <f t="shared" si="255"/>
        <v>150.70543577096086</v>
      </c>
      <c r="L638" s="158">
        <f t="shared" si="255"/>
        <v>153.30564693497951</v>
      </c>
      <c r="M638" s="158">
        <f t="shared" si="255"/>
        <v>155.826153613988</v>
      </c>
      <c r="N638" s="158">
        <f t="shared" si="255"/>
        <v>158.41802169951933</v>
      </c>
      <c r="O638" s="158">
        <f t="shared" si="255"/>
        <v>161.22004324385563</v>
      </c>
      <c r="P638" s="158">
        <f t="shared" si="255"/>
        <v>164.09253814314314</v>
      </c>
      <c r="Q638" s="158">
        <f t="shared" si="255"/>
        <v>167.03953400068099</v>
      </c>
      <c r="R638" s="158">
        <f t="shared" si="255"/>
        <v>170.23088382759786</v>
      </c>
      <c r="S638" s="158">
        <f t="shared" si="255"/>
        <v>173.51065471299597</v>
      </c>
      <c r="T638" s="158">
        <f t="shared" si="255"/>
        <v>176.88244906267923</v>
      </c>
      <c r="U638" s="158">
        <f t="shared" si="255"/>
        <v>180.34926134307338</v>
      </c>
      <c r="V638" s="158">
        <f t="shared" si="255"/>
        <v>183.91413695090159</v>
      </c>
      <c r="W638" s="158">
        <f t="shared" si="255"/>
        <v>187.57951261894112</v>
      </c>
      <c r="X638" s="158">
        <f t="shared" si="255"/>
        <v>191.34764367119399</v>
      </c>
      <c r="Y638" s="158">
        <f t="shared" si="255"/>
        <v>195.22029955829257</v>
      </c>
      <c r="Z638" s="158">
        <f t="shared" si="255"/>
        <v>199.19868191463669</v>
      </c>
      <c r="AA638" s="158">
        <f t="shared" si="255"/>
        <v>203.28311544052761</v>
      </c>
      <c r="AB638" s="158">
        <f t="shared" si="255"/>
        <v>207.67607316363262</v>
      </c>
      <c r="AC638" s="158">
        <f t="shared" si="255"/>
        <v>211.97679075289764</v>
      </c>
      <c r="AD638" s="158">
        <f t="shared" si="255"/>
        <v>216.38323824687939</v>
      </c>
      <c r="AE638" s="158">
        <f t="shared" si="255"/>
        <v>220.91078369096871</v>
      </c>
      <c r="AF638" s="158">
        <f t="shared" si="255"/>
        <v>225.53306229421756</v>
      </c>
      <c r="AG638" s="158">
        <f t="shared" si="255"/>
        <v>230.25205622810387</v>
      </c>
      <c r="AH638" s="158">
        <f t="shared" si="255"/>
        <v>235.06978913853544</v>
      </c>
      <c r="AI638" s="158">
        <f t="shared" si="255"/>
        <v>240.03165835249121</v>
      </c>
      <c r="AJ638" s="158">
        <f t="shared" ref="AJ638:BO638" si="256">GDP_capita_in</f>
        <v>245.09826304175681</v>
      </c>
      <c r="AK638" s="158">
        <f t="shared" si="256"/>
        <v>250.27181396992057</v>
      </c>
      <c r="AL638" s="158">
        <f t="shared" si="256"/>
        <v>255.55456856552013</v>
      </c>
      <c r="AM638" s="158">
        <f t="shared" si="256"/>
        <v>260.94883190704934</v>
      </c>
      <c r="AN638" s="158">
        <f t="shared" si="256"/>
        <v>266.78724134956354</v>
      </c>
      <c r="AO638" s="158">
        <f t="shared" si="256"/>
        <v>272.49043370316139</v>
      </c>
      <c r="AP638" s="158">
        <f t="shared" si="256"/>
        <v>278.31554494185133</v>
      </c>
      <c r="AQ638" s="158">
        <f t="shared" si="256"/>
        <v>284.26518136288246</v>
      </c>
      <c r="AR638" s="158">
        <f t="shared" si="256"/>
        <v>290.34200497911627</v>
      </c>
      <c r="AS638" s="158">
        <f t="shared" si="256"/>
        <v>296.35351202123269</v>
      </c>
      <c r="AT638" s="158">
        <f t="shared" si="256"/>
        <v>302.48948681619811</v>
      </c>
      <c r="AU638" s="158">
        <f t="shared" si="256"/>
        <v>308.75250645847331</v>
      </c>
      <c r="AV638" s="158">
        <f t="shared" si="256"/>
        <v>315.14520140104531</v>
      </c>
      <c r="AW638" s="158">
        <f t="shared" si="256"/>
        <v>321.67025656021133</v>
      </c>
      <c r="AX638" s="158">
        <f t="shared" si="256"/>
        <v>328.40754871481471</v>
      </c>
      <c r="AY638" s="158">
        <f t="shared" si="256"/>
        <v>335.28595153989744</v>
      </c>
      <c r="AZ638" s="158">
        <f t="shared" si="256"/>
        <v>342.64270612532238</v>
      </c>
      <c r="BA638" s="158">
        <f t="shared" si="256"/>
        <v>350.16088065029925</v>
      </c>
      <c r="BB638" s="158">
        <f t="shared" si="256"/>
        <v>358.19313306202162</v>
      </c>
      <c r="BC638" s="158">
        <f t="shared" si="256"/>
        <v>366.43094849872483</v>
      </c>
      <c r="BD638" s="158">
        <f t="shared" si="256"/>
        <v>374.84846405783389</v>
      </c>
      <c r="BE638" s="158">
        <f t="shared" si="256"/>
        <v>383.45934365586533</v>
      </c>
      <c r="BF638" s="158">
        <f t="shared" si="256"/>
        <v>391.88570166583418</v>
      </c>
      <c r="BG638" s="158">
        <f t="shared" si="256"/>
        <v>400.49722535369534</v>
      </c>
      <c r="BH638" s="158">
        <f t="shared" si="256"/>
        <v>409.24335170441407</v>
      </c>
      <c r="BI638" s="158">
        <f t="shared" si="256"/>
        <v>418.18047744614029</v>
      </c>
      <c r="BJ638" s="158">
        <f t="shared" si="256"/>
        <v>427.31277365597742</v>
      </c>
      <c r="BK638" s="158">
        <f t="shared" si="256"/>
        <v>436.64450249971827</v>
      </c>
      <c r="BL638" s="158">
        <f t="shared" si="256"/>
        <v>446.18001922105532</v>
      </c>
      <c r="BM638" s="158">
        <f t="shared" si="256"/>
        <v>455.85435818632328</v>
      </c>
      <c r="BN638" s="158">
        <f t="shared" si="256"/>
        <v>465.7384618886548</v>
      </c>
      <c r="BO638" s="158">
        <f t="shared" si="256"/>
        <v>475.83687857109499</v>
      </c>
      <c r="BP638" s="158">
        <f t="shared" ref="BP638:CP638" si="257">GDP_capita_in</f>
        <v>486.1542550943837</v>
      </c>
      <c r="BQ638" s="158">
        <f t="shared" si="257"/>
        <v>496.69533907524271</v>
      </c>
      <c r="BR638" s="158">
        <f t="shared" si="257"/>
        <v>507.45048464453214</v>
      </c>
      <c r="BS638" s="158">
        <f t="shared" si="257"/>
        <v>518.4385157416624</v>
      </c>
      <c r="BT638" s="158">
        <f t="shared" si="257"/>
        <v>529.66447513139462</v>
      </c>
      <c r="BU638" s="158">
        <f t="shared" si="257"/>
        <v>541.13351477151991</v>
      </c>
      <c r="BV638" s="158">
        <f t="shared" si="257"/>
        <v>552.85089817726043</v>
      </c>
      <c r="BW638" s="158">
        <f t="shared" si="257"/>
        <v>564.86970840334584</v>
      </c>
      <c r="BX638" s="158">
        <f t="shared" si="257"/>
        <v>577.14980390494918</v>
      </c>
      <c r="BY638" s="158">
        <f t="shared" si="257"/>
        <v>589.6968649444193</v>
      </c>
      <c r="BZ638" s="158">
        <f t="shared" si="257"/>
        <v>602.51669527127899</v>
      </c>
      <c r="CA638" s="158">
        <f t="shared" si="257"/>
        <v>615.61522480679889</v>
      </c>
      <c r="CB638" s="158">
        <f t="shared" si="257"/>
        <v>629.03749933287293</v>
      </c>
      <c r="CC638" s="158">
        <f t="shared" si="257"/>
        <v>642.77594514021951</v>
      </c>
      <c r="CD638" s="158">
        <f t="shared" si="257"/>
        <v>656.81444443150247</v>
      </c>
      <c r="CE638" s="158">
        <f t="shared" si="257"/>
        <v>671.15955050208606</v>
      </c>
      <c r="CF638" s="158">
        <f t="shared" si="257"/>
        <v>685.81795977408501</v>
      </c>
      <c r="CG638" s="158">
        <f t="shared" si="257"/>
        <v>700.79651492231369</v>
      </c>
      <c r="CH638" s="158">
        <f t="shared" si="257"/>
        <v>716.10784770662542</v>
      </c>
      <c r="CI638" s="158">
        <f t="shared" si="257"/>
        <v>731.75370971110317</v>
      </c>
      <c r="CJ638" s="158">
        <f t="shared" si="257"/>
        <v>747.7414098879276</v>
      </c>
      <c r="CK638" s="158">
        <f t="shared" si="257"/>
        <v>764.07841687871405</v>
      </c>
      <c r="CL638" s="158">
        <f t="shared" si="257"/>
        <v>780.7723625034821</v>
      </c>
      <c r="CM638" s="158">
        <f t="shared" si="257"/>
        <v>797.83104532585503</v>
      </c>
      <c r="CN638" s="158">
        <f t="shared" si="257"/>
        <v>815.26243429615215</v>
      </c>
      <c r="CO638" s="158">
        <f t="shared" si="257"/>
        <v>833.07467247407794</v>
      </c>
      <c r="CP638" s="158">
        <f t="shared" si="257"/>
        <v>851.27608083274561</v>
      </c>
      <c r="CQ638" s="3" t="s">
        <v>460</v>
      </c>
    </row>
    <row r="639" spans="1:95" ht="15" hidden="1" outlineLevel="2" x14ac:dyDescent="0.25">
      <c r="A639" s="131"/>
      <c r="B639" s="131"/>
      <c r="C639" s="131"/>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c r="AL639" s="159"/>
      <c r="AM639" s="159"/>
      <c r="AN639" s="159"/>
      <c r="AO639" s="159"/>
      <c r="AP639" s="159"/>
      <c r="AQ639" s="159"/>
      <c r="AR639" s="159"/>
      <c r="AS639" s="159"/>
      <c r="AT639" s="159"/>
      <c r="AU639" s="159"/>
      <c r="AV639" s="159"/>
      <c r="AW639" s="159"/>
      <c r="AX639" s="159"/>
      <c r="AY639" s="159"/>
      <c r="AZ639" s="159"/>
      <c r="BA639" s="159"/>
      <c r="BB639" s="159"/>
      <c r="BC639" s="159"/>
      <c r="BD639" s="159"/>
      <c r="BE639" s="159"/>
      <c r="BF639" s="159"/>
      <c r="BG639" s="159"/>
      <c r="BH639" s="159"/>
      <c r="BI639" s="159"/>
      <c r="BJ639" s="159"/>
      <c r="BK639" s="159"/>
      <c r="BL639" s="159"/>
      <c r="BM639" s="159"/>
      <c r="BN639" s="159"/>
      <c r="BO639" s="159"/>
      <c r="BP639" s="159"/>
      <c r="BQ639" s="159"/>
      <c r="BR639" s="159"/>
      <c r="BS639" s="159"/>
      <c r="BT639" s="159"/>
      <c r="BU639" s="159"/>
      <c r="BV639" s="159"/>
      <c r="BW639" s="159"/>
      <c r="BX639" s="159"/>
      <c r="BY639" s="159"/>
      <c r="BZ639" s="159"/>
      <c r="CA639" s="159"/>
      <c r="CB639" s="159"/>
      <c r="CC639" s="159"/>
      <c r="CD639" s="159"/>
      <c r="CE639" s="159"/>
      <c r="CF639" s="159"/>
      <c r="CG639" s="159"/>
      <c r="CH639" s="159"/>
      <c r="CI639" s="159"/>
      <c r="CJ639" s="159"/>
      <c r="CK639" s="159"/>
      <c r="CL639" s="159"/>
      <c r="CM639" s="159"/>
      <c r="CN639" s="159"/>
      <c r="CO639" s="159"/>
      <c r="CP639" s="159"/>
      <c r="CQ639" s="3"/>
    </row>
    <row r="640" spans="1:95" ht="15" hidden="1" outlineLevel="2" x14ac:dyDescent="0.25">
      <c r="A640" s="131"/>
      <c r="B640" s="160" t="s">
        <v>424</v>
      </c>
      <c r="C640" s="131">
        <f>Price_base_values_in</f>
        <v>2010</v>
      </c>
      <c r="D640" s="3" t="s">
        <v>472</v>
      </c>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c r="AL640" s="159"/>
      <c r="AM640" s="159"/>
      <c r="AN640" s="159"/>
      <c r="AO640" s="159"/>
      <c r="AP640" s="159"/>
      <c r="AQ640" s="159"/>
      <c r="AR640" s="159"/>
      <c r="AS640" s="159"/>
      <c r="AT640" s="159"/>
      <c r="AU640" s="159"/>
      <c r="AV640" s="159"/>
      <c r="AW640" s="159"/>
      <c r="AX640" s="159"/>
      <c r="AY640" s="159"/>
      <c r="AZ640" s="159"/>
      <c r="BA640" s="159"/>
      <c r="BB640" s="159"/>
      <c r="BC640" s="159"/>
      <c r="BD640" s="159"/>
      <c r="BE640" s="159"/>
      <c r="BF640" s="159"/>
      <c r="BG640" s="159"/>
      <c r="BH640" s="159"/>
      <c r="BI640" s="159"/>
      <c r="BJ640" s="159"/>
      <c r="BK640" s="159"/>
      <c r="BL640" s="159"/>
      <c r="BM640" s="159"/>
      <c r="BN640" s="159"/>
      <c r="BO640" s="159"/>
      <c r="BP640" s="159"/>
      <c r="BQ640" s="159"/>
      <c r="BR640" s="159"/>
      <c r="BS640" s="159"/>
      <c r="BT640" s="159"/>
      <c r="BU640" s="159"/>
      <c r="BV640" s="159"/>
      <c r="BW640" s="159"/>
      <c r="BX640" s="159"/>
      <c r="BY640" s="159"/>
      <c r="BZ640" s="159"/>
      <c r="CA640" s="159"/>
      <c r="CB640" s="159"/>
      <c r="CC640" s="159"/>
      <c r="CD640" s="159"/>
      <c r="CE640" s="159"/>
      <c r="CF640" s="159"/>
      <c r="CG640" s="159"/>
      <c r="CH640" s="159"/>
      <c r="CI640" s="159"/>
      <c r="CJ640" s="159"/>
      <c r="CK640" s="159"/>
      <c r="CL640" s="159"/>
      <c r="CM640" s="159"/>
      <c r="CN640" s="159"/>
      <c r="CO640" s="159"/>
      <c r="CP640" s="159"/>
      <c r="CQ640" s="3"/>
    </row>
    <row r="641" spans="1:95" ht="15" hidden="1" outlineLevel="2" x14ac:dyDescent="0.25">
      <c r="A641" s="131"/>
      <c r="B641" s="131" t="s">
        <v>465</v>
      </c>
      <c r="C641" s="158">
        <f>HLOOKUP(Noise_values_price_base,Uprating_table,2,0)</f>
        <v>100</v>
      </c>
      <c r="D641" s="3" t="s">
        <v>466</v>
      </c>
      <c r="E641" s="159"/>
      <c r="F641" s="159"/>
      <c r="G641" s="159"/>
      <c r="H641" s="132"/>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c r="AL641" s="159"/>
      <c r="AM641" s="159"/>
      <c r="AN641" s="159"/>
      <c r="AO641" s="159"/>
      <c r="AP641" s="159"/>
      <c r="AQ641" s="159"/>
      <c r="AR641" s="159"/>
      <c r="AS641" s="159"/>
      <c r="AT641" s="159"/>
      <c r="AU641" s="159"/>
      <c r="AV641" s="159"/>
      <c r="AW641" s="159"/>
      <c r="AX641" s="159"/>
      <c r="AY641" s="159"/>
      <c r="AZ641" s="159"/>
      <c r="BA641" s="159"/>
      <c r="BB641" s="159"/>
      <c r="BC641" s="159"/>
      <c r="BD641" s="159"/>
      <c r="BE641" s="159"/>
      <c r="BF641" s="159"/>
      <c r="BG641" s="159"/>
      <c r="BH641" s="159"/>
      <c r="BI641" s="159"/>
      <c r="BJ641" s="159"/>
      <c r="BK641" s="159"/>
      <c r="BL641" s="159"/>
      <c r="BM641" s="159"/>
      <c r="BN641" s="159"/>
      <c r="BO641" s="159"/>
      <c r="BP641" s="159"/>
      <c r="BQ641" s="159"/>
      <c r="BR641" s="159"/>
      <c r="BS641" s="159"/>
      <c r="BT641" s="159"/>
      <c r="BU641" s="159"/>
      <c r="BV641" s="159"/>
      <c r="BW641" s="159"/>
      <c r="BX641" s="159"/>
      <c r="BY641" s="159"/>
      <c r="BZ641" s="159"/>
      <c r="CA641" s="159"/>
      <c r="CB641" s="159"/>
      <c r="CC641" s="159"/>
      <c r="CD641" s="159"/>
      <c r="CE641" s="159"/>
      <c r="CF641" s="159"/>
      <c r="CG641" s="159"/>
      <c r="CH641" s="159"/>
      <c r="CI641" s="159"/>
      <c r="CJ641" s="159"/>
      <c r="CK641" s="159"/>
      <c r="CL641" s="159"/>
      <c r="CM641" s="159"/>
      <c r="CN641" s="159"/>
      <c r="CO641" s="159"/>
      <c r="CP641" s="159"/>
      <c r="CQ641" s="3"/>
    </row>
    <row r="642" spans="1:95" ht="15" hidden="1" outlineLevel="2" x14ac:dyDescent="0.25">
      <c r="A642" s="131"/>
      <c r="B642" s="131"/>
      <c r="C642" s="131"/>
      <c r="D642" s="159"/>
      <c r="E642" s="159"/>
      <c r="F642" s="159"/>
      <c r="G642" s="159"/>
      <c r="H642" s="158"/>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c r="AL642" s="159"/>
      <c r="AM642" s="159"/>
      <c r="AN642" s="159"/>
      <c r="AO642" s="159"/>
      <c r="AP642" s="159"/>
      <c r="AQ642" s="159"/>
      <c r="AR642" s="159"/>
      <c r="AS642" s="159"/>
      <c r="AT642" s="159"/>
      <c r="AU642" s="159"/>
      <c r="AV642" s="159"/>
      <c r="AW642" s="159"/>
      <c r="AX642" s="159"/>
      <c r="AY642" s="159"/>
      <c r="AZ642" s="159"/>
      <c r="BA642" s="159"/>
      <c r="BB642" s="159"/>
      <c r="BC642" s="159"/>
      <c r="BD642" s="159"/>
      <c r="BE642" s="159"/>
      <c r="BF642" s="159"/>
      <c r="BG642" s="159"/>
      <c r="BH642" s="159"/>
      <c r="BI642" s="159"/>
      <c r="BJ642" s="159"/>
      <c r="BK642" s="159"/>
      <c r="BL642" s="159"/>
      <c r="BM642" s="159"/>
      <c r="BN642" s="159"/>
      <c r="BO642" s="159"/>
      <c r="BP642" s="159"/>
      <c r="BQ642" s="159"/>
      <c r="BR642" s="159"/>
      <c r="BS642" s="159"/>
      <c r="BT642" s="159"/>
      <c r="BU642" s="159"/>
      <c r="BV642" s="159"/>
      <c r="BW642" s="159"/>
      <c r="BX642" s="159"/>
      <c r="BY642" s="159"/>
      <c r="BZ642" s="159"/>
      <c r="CA642" s="159"/>
      <c r="CB642" s="159"/>
      <c r="CC642" s="159"/>
      <c r="CD642" s="159"/>
      <c r="CE642" s="159"/>
      <c r="CF642" s="159"/>
      <c r="CG642" s="159"/>
      <c r="CH642" s="159"/>
      <c r="CI642" s="159"/>
      <c r="CJ642" s="159"/>
      <c r="CK642" s="159"/>
      <c r="CL642" s="159"/>
      <c r="CM642" s="159"/>
      <c r="CN642" s="159"/>
      <c r="CO642" s="159"/>
      <c r="CP642" s="159"/>
      <c r="CQ642" s="3"/>
    </row>
    <row r="643" spans="1:95" ht="15" hidden="1" customHeight="1" outlineLevel="2" x14ac:dyDescent="0.25">
      <c r="A643" s="131"/>
      <c r="B643" s="131" t="s">
        <v>468</v>
      </c>
      <c r="C643" s="131">
        <f>Price_base_outputs_in</f>
        <v>2010</v>
      </c>
      <c r="D643" s="3" t="s">
        <v>469</v>
      </c>
      <c r="E643" s="132"/>
      <c r="F643" s="132"/>
      <c r="G643" s="132"/>
      <c r="H643" s="158"/>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2"/>
      <c r="AY643" s="132"/>
      <c r="AZ643" s="132"/>
      <c r="BA643" s="132"/>
      <c r="BB643" s="132"/>
      <c r="BC643" s="132"/>
      <c r="BD643" s="132"/>
      <c r="BE643" s="132"/>
      <c r="BF643" s="132"/>
      <c r="BG643" s="132"/>
      <c r="BH643" s="132"/>
      <c r="BI643" s="132"/>
      <c r="BJ643" s="132"/>
      <c r="BK643" s="132"/>
      <c r="BL643" s="132"/>
      <c r="BM643" s="132"/>
      <c r="BN643" s="132"/>
      <c r="BO643" s="132"/>
      <c r="BP643" s="132"/>
      <c r="BQ643" s="132"/>
      <c r="BR643" s="132"/>
      <c r="BS643" s="132"/>
      <c r="BT643" s="132"/>
      <c r="BU643" s="132"/>
      <c r="BV643" s="132"/>
      <c r="BW643" s="132"/>
      <c r="BX643" s="132"/>
      <c r="BY643" s="132"/>
      <c r="BZ643" s="132"/>
      <c r="CA643" s="132"/>
      <c r="CB643" s="132"/>
      <c r="CC643" s="132"/>
      <c r="CD643" s="132"/>
      <c r="CE643" s="132"/>
      <c r="CF643" s="132"/>
      <c r="CG643" s="132"/>
      <c r="CH643" s="132"/>
      <c r="CI643" s="132"/>
      <c r="CJ643" s="132"/>
      <c r="CK643" s="132"/>
      <c r="CL643" s="132"/>
      <c r="CM643" s="132"/>
      <c r="CN643" s="132"/>
      <c r="CO643" s="132"/>
      <c r="CP643" s="132"/>
      <c r="CQ643" s="131"/>
    </row>
    <row r="644" spans="1:95" ht="15" hidden="1" outlineLevel="2" x14ac:dyDescent="0.25">
      <c r="A644" s="131"/>
      <c r="B644" s="131" t="s">
        <v>425</v>
      </c>
      <c r="C644" s="131">
        <f>HLOOKUP(Outputs_price_base,Uprating_table,2,0)</f>
        <v>100</v>
      </c>
      <c r="D644" s="3" t="s">
        <v>426</v>
      </c>
      <c r="E644" s="132"/>
      <c r="F644" s="132"/>
      <c r="G644" s="132"/>
      <c r="H644" s="131"/>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2"/>
      <c r="AY644" s="132"/>
      <c r="AZ644" s="132"/>
      <c r="BA644" s="132"/>
      <c r="BB644" s="132"/>
      <c r="BC644" s="132"/>
      <c r="BD644" s="132"/>
      <c r="BE644" s="132"/>
      <c r="BF644" s="132"/>
      <c r="BG644" s="132"/>
      <c r="BH644" s="132"/>
      <c r="BI644" s="132"/>
      <c r="BJ644" s="132"/>
      <c r="BK644" s="132"/>
      <c r="BL644" s="132"/>
      <c r="BM644" s="132"/>
      <c r="BN644" s="132"/>
      <c r="BO644" s="132"/>
      <c r="BP644" s="132"/>
      <c r="BQ644" s="132"/>
      <c r="BR644" s="132"/>
      <c r="BS644" s="132"/>
      <c r="BT644" s="132"/>
      <c r="BU644" s="132"/>
      <c r="BV644" s="132"/>
      <c r="BW644" s="132"/>
      <c r="BX644" s="132"/>
      <c r="BY644" s="132"/>
      <c r="BZ644" s="132"/>
      <c r="CA644" s="132"/>
      <c r="CB644" s="132"/>
      <c r="CC644" s="132"/>
      <c r="CD644" s="132"/>
      <c r="CE644" s="132"/>
      <c r="CF644" s="132"/>
      <c r="CG644" s="132"/>
      <c r="CH644" s="132"/>
      <c r="CI644" s="132"/>
      <c r="CJ644" s="132"/>
      <c r="CK644" s="132"/>
      <c r="CL644" s="132"/>
      <c r="CM644" s="132"/>
      <c r="CN644" s="132"/>
      <c r="CO644" s="132"/>
      <c r="CP644" s="132"/>
      <c r="CQ644" s="131"/>
    </row>
    <row r="645" spans="1:95" ht="15" hidden="1" outlineLevel="2" x14ac:dyDescent="0.25">
      <c r="A645" s="131"/>
      <c r="B645" s="131"/>
      <c r="C645" s="131"/>
      <c r="D645" s="3"/>
      <c r="E645" s="132"/>
      <c r="F645" s="132"/>
      <c r="G645" s="132"/>
      <c r="H645" s="131"/>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32"/>
      <c r="AY645" s="132"/>
      <c r="AZ645" s="132"/>
      <c r="BA645" s="132"/>
      <c r="BB645" s="132"/>
      <c r="BC645" s="132"/>
      <c r="BD645" s="132"/>
      <c r="BE645" s="132"/>
      <c r="BF645" s="132"/>
      <c r="BG645" s="132"/>
      <c r="BH645" s="132"/>
      <c r="BI645" s="132"/>
      <c r="BJ645" s="132"/>
      <c r="BK645" s="132"/>
      <c r="BL645" s="132"/>
      <c r="BM645" s="132"/>
      <c r="BN645" s="132"/>
      <c r="BO645" s="132"/>
      <c r="BP645" s="132"/>
      <c r="BQ645" s="132"/>
      <c r="BR645" s="132"/>
      <c r="BS645" s="132"/>
      <c r="BT645" s="132"/>
      <c r="BU645" s="132"/>
      <c r="BV645" s="132"/>
      <c r="BW645" s="132"/>
      <c r="BX645" s="132"/>
      <c r="BY645" s="132"/>
      <c r="BZ645" s="132"/>
      <c r="CA645" s="132"/>
      <c r="CB645" s="132"/>
      <c r="CC645" s="132"/>
      <c r="CD645" s="132"/>
      <c r="CE645" s="132"/>
      <c r="CF645" s="132"/>
      <c r="CG645" s="132"/>
      <c r="CH645" s="132"/>
      <c r="CI645" s="132"/>
      <c r="CJ645" s="132"/>
      <c r="CK645" s="132"/>
      <c r="CL645" s="132"/>
      <c r="CM645" s="132"/>
      <c r="CN645" s="132"/>
      <c r="CO645" s="132"/>
      <c r="CP645" s="132"/>
      <c r="CQ645" s="131"/>
    </row>
    <row r="646" spans="1:95" ht="15" hidden="1" outlineLevel="2" x14ac:dyDescent="0.25">
      <c r="A646" s="131"/>
      <c r="B646" s="131" t="s">
        <v>427</v>
      </c>
      <c r="C646" s="158">
        <f>GDP_deflator_outputs/GDP_deflator_base</f>
        <v>1</v>
      </c>
      <c r="D646" s="32" t="s">
        <v>428</v>
      </c>
      <c r="E646" s="132"/>
      <c r="F646" s="132"/>
      <c r="G646" s="132"/>
      <c r="H646" s="158"/>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c r="AT646" s="132"/>
      <c r="AU646" s="132"/>
      <c r="AV646" s="132"/>
      <c r="AW646" s="132"/>
      <c r="AX646" s="132"/>
      <c r="AY646" s="132"/>
      <c r="AZ646" s="132"/>
      <c r="BA646" s="132"/>
      <c r="BB646" s="132"/>
      <c r="BC646" s="132"/>
      <c r="BD646" s="132"/>
      <c r="BE646" s="132"/>
      <c r="BF646" s="132"/>
      <c r="BG646" s="132"/>
      <c r="BH646" s="132"/>
      <c r="BI646" s="132"/>
      <c r="BJ646" s="132"/>
      <c r="BK646" s="132"/>
      <c r="BL646" s="132"/>
      <c r="BM646" s="132"/>
      <c r="BN646" s="132"/>
      <c r="BO646" s="132"/>
      <c r="BP646" s="132"/>
      <c r="BQ646" s="132"/>
      <c r="BR646" s="132"/>
      <c r="BS646" s="132"/>
      <c r="BT646" s="132"/>
      <c r="BU646" s="132"/>
      <c r="BV646" s="132"/>
      <c r="BW646" s="132"/>
      <c r="BX646" s="132"/>
      <c r="BY646" s="132"/>
      <c r="BZ646" s="132"/>
      <c r="CA646" s="132"/>
      <c r="CB646" s="132"/>
      <c r="CC646" s="132"/>
      <c r="CD646" s="132"/>
      <c r="CE646" s="132"/>
      <c r="CF646" s="132"/>
      <c r="CG646" s="132"/>
      <c r="CH646" s="132"/>
      <c r="CI646" s="132"/>
      <c r="CJ646" s="132"/>
      <c r="CK646" s="132"/>
      <c r="CL646" s="132"/>
      <c r="CM646" s="132"/>
      <c r="CN646" s="132"/>
      <c r="CO646" s="132"/>
      <c r="CP646" s="132"/>
      <c r="CQ646" s="131"/>
    </row>
    <row r="647" spans="1:95" ht="15" hidden="1" outlineLevel="2" x14ac:dyDescent="0.25">
      <c r="A647" s="131"/>
      <c r="B647" s="131"/>
      <c r="C647" s="131"/>
      <c r="D647" s="131"/>
      <c r="E647" s="132"/>
      <c r="F647" s="132"/>
      <c r="G647" s="132"/>
      <c r="H647" s="131"/>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c r="AT647" s="132"/>
      <c r="AU647" s="132"/>
      <c r="AV647" s="132"/>
      <c r="AW647" s="132"/>
      <c r="AX647" s="132"/>
      <c r="AY647" s="132"/>
      <c r="AZ647" s="132"/>
      <c r="BA647" s="132"/>
      <c r="BB647" s="132"/>
      <c r="BC647" s="132"/>
      <c r="BD647" s="132"/>
      <c r="BE647" s="132"/>
      <c r="BF647" s="132"/>
      <c r="BG647" s="132"/>
      <c r="BH647" s="132"/>
      <c r="BI647" s="132"/>
      <c r="BJ647" s="132"/>
      <c r="BK647" s="132"/>
      <c r="BL647" s="132"/>
      <c r="BM647" s="132"/>
      <c r="BN647" s="132"/>
      <c r="BO647" s="132"/>
      <c r="BP647" s="132"/>
      <c r="BQ647" s="132"/>
      <c r="BR647" s="132"/>
      <c r="BS647" s="132"/>
      <c r="BT647" s="132"/>
      <c r="BU647" s="132"/>
      <c r="BV647" s="132"/>
      <c r="BW647" s="132"/>
      <c r="BX647" s="132"/>
      <c r="BY647" s="132"/>
      <c r="BZ647" s="132"/>
      <c r="CA647" s="132"/>
      <c r="CB647" s="132"/>
      <c r="CC647" s="132"/>
      <c r="CD647" s="132"/>
      <c r="CE647" s="132"/>
      <c r="CF647" s="132"/>
      <c r="CG647" s="132"/>
      <c r="CH647" s="132"/>
      <c r="CI647" s="132"/>
      <c r="CJ647" s="132"/>
      <c r="CK647" s="132"/>
      <c r="CL647" s="132"/>
      <c r="CM647" s="132"/>
      <c r="CN647" s="132"/>
      <c r="CO647" s="132"/>
      <c r="CP647" s="132"/>
      <c r="CQ647" s="131"/>
    </row>
    <row r="648" spans="1:95" ht="30" hidden="1" outlineLevel="2" x14ac:dyDescent="0.25">
      <c r="A648" s="131"/>
      <c r="B648" s="160" t="s">
        <v>467</v>
      </c>
      <c r="C648" s="131">
        <f>Income_base_values_in</f>
        <v>2010</v>
      </c>
      <c r="D648" s="14" t="s">
        <v>473</v>
      </c>
      <c r="E648" s="159"/>
      <c r="F648" s="159"/>
      <c r="G648" s="159"/>
      <c r="H648" s="158"/>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c r="AL648" s="159"/>
      <c r="AM648" s="159"/>
      <c r="AN648" s="159"/>
      <c r="AO648" s="159"/>
      <c r="AP648" s="159"/>
      <c r="AQ648" s="159"/>
      <c r="AR648" s="159"/>
      <c r="AS648" s="159"/>
      <c r="AT648" s="159"/>
      <c r="AU648" s="159"/>
      <c r="AV648" s="159"/>
      <c r="AW648" s="159"/>
      <c r="AX648" s="159"/>
      <c r="AY648" s="159"/>
      <c r="AZ648" s="159"/>
      <c r="BA648" s="159"/>
      <c r="BB648" s="159"/>
      <c r="BC648" s="159"/>
      <c r="BD648" s="159"/>
      <c r="BE648" s="159"/>
      <c r="BF648" s="159"/>
      <c r="BG648" s="159"/>
      <c r="BH648" s="159"/>
      <c r="BI648" s="159"/>
      <c r="BJ648" s="159"/>
      <c r="BK648" s="159"/>
      <c r="BL648" s="159"/>
      <c r="BM648" s="159"/>
      <c r="BN648" s="159"/>
      <c r="BO648" s="159"/>
      <c r="BP648" s="159"/>
      <c r="BQ648" s="159"/>
      <c r="BR648" s="159"/>
      <c r="BS648" s="159"/>
      <c r="BT648" s="159"/>
      <c r="BU648" s="159"/>
      <c r="BV648" s="159"/>
      <c r="BW648" s="159"/>
      <c r="BX648" s="159"/>
      <c r="BY648" s="159"/>
      <c r="BZ648" s="159"/>
      <c r="CA648" s="159"/>
      <c r="CB648" s="159"/>
      <c r="CC648" s="159"/>
      <c r="CD648" s="159"/>
      <c r="CE648" s="159"/>
      <c r="CF648" s="159"/>
      <c r="CG648" s="159"/>
      <c r="CH648" s="159"/>
      <c r="CI648" s="159"/>
      <c r="CJ648" s="159"/>
      <c r="CK648" s="159"/>
      <c r="CL648" s="159"/>
      <c r="CM648" s="159"/>
      <c r="CN648" s="159"/>
      <c r="CO648" s="159"/>
      <c r="CP648" s="159"/>
      <c r="CQ648" s="3"/>
    </row>
    <row r="649" spans="1:95" ht="15" hidden="1" outlineLevel="2" x14ac:dyDescent="0.25">
      <c r="A649" s="131"/>
      <c r="B649" s="131" t="s">
        <v>470</v>
      </c>
      <c r="C649" s="158">
        <f>HLOOKUP(Noise_values_income_base,Uprating_table,3,0)</f>
        <v>135.85383747114122</v>
      </c>
      <c r="D649" s="14" t="s">
        <v>471</v>
      </c>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c r="AL649" s="159"/>
      <c r="AM649" s="159"/>
      <c r="AN649" s="159"/>
      <c r="AO649" s="159"/>
      <c r="AP649" s="159"/>
      <c r="AQ649" s="159"/>
      <c r="AR649" s="159"/>
      <c r="AS649" s="159"/>
      <c r="AT649" s="159"/>
      <c r="AU649" s="159"/>
      <c r="AV649" s="159"/>
      <c r="AW649" s="159"/>
      <c r="AX649" s="159"/>
      <c r="AY649" s="159"/>
      <c r="AZ649" s="159"/>
      <c r="BA649" s="159"/>
      <c r="BB649" s="159"/>
      <c r="BC649" s="159"/>
      <c r="BD649" s="159"/>
      <c r="BE649" s="159"/>
      <c r="BF649" s="159"/>
      <c r="BG649" s="159"/>
      <c r="BH649" s="159"/>
      <c r="BI649" s="159"/>
      <c r="BJ649" s="159"/>
      <c r="BK649" s="159"/>
      <c r="BL649" s="159"/>
      <c r="BM649" s="159"/>
      <c r="BN649" s="159"/>
      <c r="BO649" s="159"/>
      <c r="BP649" s="159"/>
      <c r="BQ649" s="159"/>
      <c r="BR649" s="159"/>
      <c r="BS649" s="159"/>
      <c r="BT649" s="159"/>
      <c r="BU649" s="159"/>
      <c r="BV649" s="159"/>
      <c r="BW649" s="159"/>
      <c r="BX649" s="159"/>
      <c r="BY649" s="159"/>
      <c r="BZ649" s="159"/>
      <c r="CA649" s="159"/>
      <c r="CB649" s="159"/>
      <c r="CC649" s="159"/>
      <c r="CD649" s="159"/>
      <c r="CE649" s="159"/>
      <c r="CF649" s="159"/>
      <c r="CG649" s="159"/>
      <c r="CH649" s="159"/>
      <c r="CI649" s="159"/>
      <c r="CJ649" s="159"/>
      <c r="CK649" s="159"/>
      <c r="CL649" s="159"/>
      <c r="CM649" s="159"/>
      <c r="CN649" s="159"/>
      <c r="CO649" s="159"/>
      <c r="CP649" s="159"/>
      <c r="CQ649" s="3"/>
    </row>
    <row r="650" spans="1:95" ht="15" hidden="1" outlineLevel="2" x14ac:dyDescent="0.25">
      <c r="A650" s="131"/>
      <c r="B650" s="131"/>
      <c r="C650" s="158"/>
      <c r="D650" s="14"/>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c r="AL650" s="159"/>
      <c r="AM650" s="159"/>
      <c r="AN650" s="159"/>
      <c r="AO650" s="159"/>
      <c r="AP650" s="159"/>
      <c r="AQ650" s="159"/>
      <c r="AR650" s="159"/>
      <c r="AS650" s="159"/>
      <c r="AT650" s="159"/>
      <c r="AU650" s="159"/>
      <c r="AV650" s="159"/>
      <c r="AW650" s="159"/>
      <c r="AX650" s="159"/>
      <c r="AY650" s="159"/>
      <c r="AZ650" s="159"/>
      <c r="BA650" s="159"/>
      <c r="BB650" s="159"/>
      <c r="BC650" s="159"/>
      <c r="BD650" s="159"/>
      <c r="BE650" s="159"/>
      <c r="BF650" s="159"/>
      <c r="BG650" s="159"/>
      <c r="BH650" s="159"/>
      <c r="BI650" s="159"/>
      <c r="BJ650" s="159"/>
      <c r="BK650" s="159"/>
      <c r="BL650" s="159"/>
      <c r="BM650" s="159"/>
      <c r="BN650" s="159"/>
      <c r="BO650" s="159"/>
      <c r="BP650" s="159"/>
      <c r="BQ650" s="159"/>
      <c r="BR650" s="159"/>
      <c r="BS650" s="159"/>
      <c r="BT650" s="159"/>
      <c r="BU650" s="159"/>
      <c r="BV650" s="159"/>
      <c r="BW650" s="159"/>
      <c r="BX650" s="159"/>
      <c r="BY650" s="159"/>
      <c r="BZ650" s="159"/>
      <c r="CA650" s="159"/>
      <c r="CB650" s="159"/>
      <c r="CC650" s="159"/>
      <c r="CD650" s="159"/>
      <c r="CE650" s="159"/>
      <c r="CF650" s="159"/>
      <c r="CG650" s="159"/>
      <c r="CH650" s="159"/>
      <c r="CI650" s="159"/>
      <c r="CJ650" s="159"/>
      <c r="CK650" s="159"/>
      <c r="CL650" s="159"/>
      <c r="CM650" s="159"/>
      <c r="CN650" s="159"/>
      <c r="CO650" s="159"/>
      <c r="CP650" s="159"/>
      <c r="CQ650" s="3"/>
    </row>
    <row r="651" spans="1:95" s="5" customFormat="1" ht="15.75" hidden="1" outlineLevel="2" x14ac:dyDescent="0.25">
      <c r="B651" s="5" t="s">
        <v>429</v>
      </c>
    </row>
    <row r="652" spans="1:95" ht="15" hidden="1" outlineLevel="2" x14ac:dyDescent="0.25">
      <c r="A652" s="131"/>
      <c r="B652" s="131"/>
      <c r="C652" s="131"/>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c r="AO652" s="132"/>
      <c r="AP652" s="132"/>
      <c r="AQ652" s="132"/>
      <c r="AR652" s="132"/>
      <c r="AS652" s="132"/>
      <c r="AT652" s="132"/>
      <c r="AU652" s="132"/>
      <c r="AV652" s="132"/>
      <c r="AW652" s="132"/>
      <c r="AX652" s="132"/>
      <c r="AY652" s="132"/>
      <c r="AZ652" s="132"/>
      <c r="BA652" s="132"/>
      <c r="BB652" s="132"/>
      <c r="BC652" s="132"/>
      <c r="BD652" s="132"/>
      <c r="BE652" s="132"/>
      <c r="BF652" s="132"/>
      <c r="BG652" s="132"/>
      <c r="BH652" s="132"/>
      <c r="BI652" s="132"/>
      <c r="BJ652" s="132"/>
      <c r="BK652" s="132"/>
      <c r="BL652" s="132"/>
      <c r="BM652" s="132"/>
      <c r="BN652" s="132"/>
      <c r="BO652" s="132"/>
      <c r="BP652" s="132"/>
      <c r="BQ652" s="132"/>
      <c r="BR652" s="132"/>
      <c r="BS652" s="132"/>
      <c r="BT652" s="132"/>
      <c r="BU652" s="132"/>
      <c r="BV652" s="132"/>
      <c r="BW652" s="132"/>
      <c r="BX652" s="132"/>
      <c r="BY652" s="132"/>
      <c r="BZ652" s="132"/>
      <c r="CA652" s="132"/>
      <c r="CB652" s="132"/>
      <c r="CC652" s="132"/>
      <c r="CD652" s="132"/>
      <c r="CE652" s="132"/>
      <c r="CF652" s="132"/>
      <c r="CG652" s="132"/>
      <c r="CH652" s="132"/>
      <c r="CI652" s="132"/>
      <c r="CJ652" s="132"/>
      <c r="CK652" s="132"/>
      <c r="CL652" s="132"/>
      <c r="CM652" s="132"/>
      <c r="CN652" s="132"/>
      <c r="CO652" s="132"/>
      <c r="CP652" s="132"/>
      <c r="CQ652" s="131"/>
    </row>
    <row r="653" spans="1:95" ht="15" hidden="1" outlineLevel="2" x14ac:dyDescent="0.25">
      <c r="A653" s="131"/>
      <c r="B653" s="131"/>
      <c r="C653" s="131"/>
      <c r="D653" s="16">
        <v>2010</v>
      </c>
      <c r="E653" s="16">
        <v>2011</v>
      </c>
      <c r="F653" s="16">
        <v>2012</v>
      </c>
      <c r="G653" s="16">
        <v>2013</v>
      </c>
      <c r="H653" s="16">
        <v>2014</v>
      </c>
      <c r="I653" s="16">
        <v>2015</v>
      </c>
      <c r="J653" s="16">
        <v>2016</v>
      </c>
      <c r="K653" s="16">
        <v>2017</v>
      </c>
      <c r="L653" s="16">
        <v>2018</v>
      </c>
      <c r="M653" s="16">
        <v>2019</v>
      </c>
      <c r="N653" s="16">
        <v>2020</v>
      </c>
      <c r="O653" s="16">
        <v>2021</v>
      </c>
      <c r="P653" s="16">
        <v>2022</v>
      </c>
      <c r="Q653" s="16">
        <v>2023</v>
      </c>
      <c r="R653" s="16">
        <v>2024</v>
      </c>
      <c r="S653" s="16">
        <v>2025</v>
      </c>
      <c r="T653" s="16">
        <v>2026</v>
      </c>
      <c r="U653" s="16">
        <v>2027</v>
      </c>
      <c r="V653" s="16">
        <v>2028</v>
      </c>
      <c r="W653" s="16">
        <v>2029</v>
      </c>
      <c r="X653" s="16">
        <v>2030</v>
      </c>
      <c r="Y653" s="16">
        <v>2031</v>
      </c>
      <c r="Z653" s="16">
        <v>2032</v>
      </c>
      <c r="AA653" s="16">
        <v>2033</v>
      </c>
      <c r="AB653" s="16">
        <v>2034</v>
      </c>
      <c r="AC653" s="16">
        <v>2035</v>
      </c>
      <c r="AD653" s="16">
        <v>2036</v>
      </c>
      <c r="AE653" s="16">
        <v>2037</v>
      </c>
      <c r="AF653" s="16">
        <v>2038</v>
      </c>
      <c r="AG653" s="16">
        <v>2039</v>
      </c>
      <c r="AH653" s="16">
        <v>2040</v>
      </c>
      <c r="AI653" s="16">
        <v>2041</v>
      </c>
      <c r="AJ653" s="16">
        <v>2042</v>
      </c>
      <c r="AK653" s="16">
        <v>2043</v>
      </c>
      <c r="AL653" s="16">
        <v>2044</v>
      </c>
      <c r="AM653" s="16">
        <v>2045</v>
      </c>
      <c r="AN653" s="16">
        <v>2046</v>
      </c>
      <c r="AO653" s="16">
        <v>2047</v>
      </c>
      <c r="AP653" s="16">
        <v>2048</v>
      </c>
      <c r="AQ653" s="16">
        <v>2049</v>
      </c>
      <c r="AR653" s="16">
        <v>2050</v>
      </c>
      <c r="AS653" s="16">
        <v>2051</v>
      </c>
      <c r="AT653" s="16">
        <v>2052</v>
      </c>
      <c r="AU653" s="16">
        <v>2053</v>
      </c>
      <c r="AV653" s="16">
        <v>2054</v>
      </c>
      <c r="AW653" s="16">
        <v>2055</v>
      </c>
      <c r="AX653" s="16">
        <v>2056</v>
      </c>
      <c r="AY653" s="16">
        <v>2057</v>
      </c>
      <c r="AZ653" s="16">
        <v>2058</v>
      </c>
      <c r="BA653" s="16">
        <v>2059</v>
      </c>
      <c r="BB653" s="16">
        <v>2060</v>
      </c>
      <c r="BC653" s="16">
        <v>2061</v>
      </c>
      <c r="BD653" s="16">
        <v>2062</v>
      </c>
      <c r="BE653" s="16">
        <v>2063</v>
      </c>
      <c r="BF653" s="16">
        <v>2064</v>
      </c>
      <c r="BG653" s="16">
        <v>2065</v>
      </c>
      <c r="BH653" s="16">
        <v>2066</v>
      </c>
      <c r="BI653" s="16">
        <v>2067</v>
      </c>
      <c r="BJ653" s="16">
        <v>2068</v>
      </c>
      <c r="BK653" s="16">
        <v>2069</v>
      </c>
      <c r="BL653" s="16">
        <v>2070</v>
      </c>
      <c r="BM653" s="16">
        <v>2071</v>
      </c>
      <c r="BN653" s="16">
        <v>2072</v>
      </c>
      <c r="BO653" s="16">
        <v>2073</v>
      </c>
      <c r="BP653" s="16">
        <v>2074</v>
      </c>
      <c r="BQ653" s="16">
        <v>2075</v>
      </c>
      <c r="BR653" s="16">
        <v>2076</v>
      </c>
      <c r="BS653" s="16">
        <v>2077</v>
      </c>
      <c r="BT653" s="16">
        <v>2078</v>
      </c>
      <c r="BU653" s="16">
        <v>2079</v>
      </c>
      <c r="BV653" s="16">
        <v>2080</v>
      </c>
      <c r="BW653" s="16">
        <v>2081</v>
      </c>
      <c r="BX653" s="16">
        <v>2082</v>
      </c>
      <c r="BY653" s="16">
        <v>2083</v>
      </c>
      <c r="BZ653" s="16">
        <v>2084</v>
      </c>
      <c r="CA653" s="16">
        <v>2085</v>
      </c>
      <c r="CB653" s="16">
        <v>2086</v>
      </c>
      <c r="CC653" s="16">
        <v>2087</v>
      </c>
      <c r="CD653" s="16">
        <v>2088</v>
      </c>
      <c r="CE653" s="16">
        <v>2089</v>
      </c>
      <c r="CF653" s="16">
        <v>2090</v>
      </c>
      <c r="CG653" s="16">
        <v>2091</v>
      </c>
      <c r="CH653" s="16">
        <v>2092</v>
      </c>
      <c r="CI653" s="16">
        <v>2093</v>
      </c>
      <c r="CJ653" s="16">
        <v>2094</v>
      </c>
      <c r="CK653" s="16">
        <v>2095</v>
      </c>
      <c r="CL653" s="16">
        <v>2096</v>
      </c>
      <c r="CM653" s="16">
        <v>2097</v>
      </c>
      <c r="CN653" s="16">
        <v>2098</v>
      </c>
      <c r="CO653" s="16">
        <v>2099</v>
      </c>
      <c r="CP653" s="16">
        <v>2100</v>
      </c>
      <c r="CQ653" s="131"/>
    </row>
    <row r="654" spans="1:95" ht="15" hidden="1" outlineLevel="2" x14ac:dyDescent="0.25">
      <c r="A654" s="131"/>
      <c r="B654" s="131" t="s">
        <v>65</v>
      </c>
      <c r="C654" s="131"/>
      <c r="D654" s="149">
        <f t="shared" ref="D654:AI654" si="258">Total_annual_sleep_disturbance_cost*Price_adjustment*(GDP_capita/GDP_capita_base)</f>
        <v>0</v>
      </c>
      <c r="E654" s="149">
        <f t="shared" si="258"/>
        <v>0</v>
      </c>
      <c r="F654" s="149">
        <f t="shared" si="258"/>
        <v>0</v>
      </c>
      <c r="G654" s="149">
        <f t="shared" si="258"/>
        <v>0</v>
      </c>
      <c r="H654" s="149">
        <f t="shared" si="258"/>
        <v>0</v>
      </c>
      <c r="I654" s="149">
        <f>Total_annual_sleep_disturbance_cost*Price_adjustment*(GDP_capita/GDP_capita_base)</f>
        <v>0</v>
      </c>
      <c r="J654" s="149">
        <f>Total_annual_sleep_disturbance_cost*Price_adjustment*(GDP_capita/GDP_capita_base)</f>
        <v>0</v>
      </c>
      <c r="K654" s="149">
        <f t="shared" si="258"/>
        <v>0</v>
      </c>
      <c r="L654" s="149">
        <f t="shared" si="258"/>
        <v>0</v>
      </c>
      <c r="M654" s="149">
        <f t="shared" si="258"/>
        <v>0</v>
      </c>
      <c r="N654" s="149">
        <f t="shared" si="258"/>
        <v>0</v>
      </c>
      <c r="O654" s="149">
        <f t="shared" si="258"/>
        <v>0</v>
      </c>
      <c r="P654" s="149">
        <f t="shared" si="258"/>
        <v>0</v>
      </c>
      <c r="Q654" s="149">
        <f t="shared" si="258"/>
        <v>0</v>
      </c>
      <c r="R654" s="149">
        <f t="shared" si="258"/>
        <v>0</v>
      </c>
      <c r="S654" s="149">
        <f t="shared" si="258"/>
        <v>0</v>
      </c>
      <c r="T654" s="149">
        <f t="shared" si="258"/>
        <v>-300399.81813225412</v>
      </c>
      <c r="U654" s="149">
        <f t="shared" si="258"/>
        <v>-312580.2093564393</v>
      </c>
      <c r="V654" s="149">
        <f t="shared" si="258"/>
        <v>-325175.91105070442</v>
      </c>
      <c r="W654" s="149">
        <f t="shared" si="258"/>
        <v>-338201.58138484153</v>
      </c>
      <c r="X654" s="149">
        <f t="shared" si="258"/>
        <v>-351671.88521034212</v>
      </c>
      <c r="Y654" s="149">
        <f t="shared" si="258"/>
        <v>-365600.89222276438</v>
      </c>
      <c r="Z654" s="149">
        <f t="shared" si="258"/>
        <v>-380001.8358784343</v>
      </c>
      <c r="AA654" s="149">
        <f t="shared" si="258"/>
        <v>-394886.4138589222</v>
      </c>
      <c r="AB654" s="149">
        <f t="shared" si="258"/>
        <v>-410666.10450521583</v>
      </c>
      <c r="AC654" s="149">
        <f t="shared" si="258"/>
        <v>-426566.73354257364</v>
      </c>
      <c r="AD654" s="149">
        <f t="shared" si="258"/>
        <v>-442983.93379529956</v>
      </c>
      <c r="AE654" s="149">
        <f t="shared" si="258"/>
        <v>-452252.81204811222</v>
      </c>
      <c r="AF654" s="149">
        <f t="shared" si="258"/>
        <v>-461715.62984931748</v>
      </c>
      <c r="AG654" s="149">
        <f t="shared" si="258"/>
        <v>-471376.44513855013</v>
      </c>
      <c r="AH654" s="149">
        <f t="shared" si="258"/>
        <v>-481239.40076269646</v>
      </c>
      <c r="AI654" s="149">
        <f t="shared" si="258"/>
        <v>-491397.43500409229</v>
      </c>
      <c r="AJ654" s="149">
        <f t="shared" ref="AJ654:BO654" si="259">Total_annual_sleep_disturbance_cost*Price_adjustment*(GDP_capita/GDP_capita_base)</f>
        <v>-501769.88572819065</v>
      </c>
      <c r="AK654" s="149">
        <f t="shared" si="259"/>
        <v>-512361.2788527981</v>
      </c>
      <c r="AL654" s="149">
        <f t="shared" si="259"/>
        <v>-523176.23582910467</v>
      </c>
      <c r="AM654" s="149">
        <f t="shared" si="259"/>
        <v>-534219.47565820848</v>
      </c>
      <c r="AN654" s="149">
        <f t="shared" si="259"/>
        <v>-546171.97994138103</v>
      </c>
      <c r="AO654" s="149">
        <f t="shared" si="259"/>
        <v>-557847.66519527091</v>
      </c>
      <c r="AP654" s="149">
        <f t="shared" si="259"/>
        <v>-569772.94513939472</v>
      </c>
      <c r="AQ654" s="149">
        <f t="shared" si="259"/>
        <v>-581953.15543568914</v>
      </c>
      <c r="AR654" s="149">
        <f t="shared" si="259"/>
        <v>-594393.74580816575</v>
      </c>
      <c r="AS654" s="149">
        <f t="shared" si="259"/>
        <v>-606700.6188318358</v>
      </c>
      <c r="AT654" s="149">
        <f t="shared" si="259"/>
        <v>-619262.30463691347</v>
      </c>
      <c r="AU654" s="149">
        <f t="shared" si="259"/>
        <v>-632084.07910082489</v>
      </c>
      <c r="AV654" s="149">
        <f t="shared" si="259"/>
        <v>-645171.32733759866</v>
      </c>
      <c r="AW654" s="149">
        <f t="shared" si="259"/>
        <v>-658529.54595960118</v>
      </c>
      <c r="AX654" s="149">
        <f t="shared" si="259"/>
        <v>-672322.2602472452</v>
      </c>
      <c r="AY654" s="149">
        <f t="shared" si="259"/>
        <v>-686403.85901788285</v>
      </c>
      <c r="AZ654" s="149">
        <f t="shared" si="259"/>
        <v>-701464.74872737098</v>
      </c>
      <c r="BA654" s="149">
        <f t="shared" si="259"/>
        <v>-716856.10044674051</v>
      </c>
      <c r="BB654" s="149">
        <f t="shared" si="259"/>
        <v>-733299.8823191697</v>
      </c>
      <c r="BC654" s="149">
        <f t="shared" si="259"/>
        <v>-750164.49677635287</v>
      </c>
      <c r="BD654" s="149">
        <f t="shared" si="259"/>
        <v>-767396.99678590964</v>
      </c>
      <c r="BE654" s="149">
        <f t="shared" si="259"/>
        <v>-785025.35538095748</v>
      </c>
      <c r="BF654" s="149">
        <f t="shared" si="259"/>
        <v>-802275.95782625733</v>
      </c>
      <c r="BG654" s="149">
        <f t="shared" si="259"/>
        <v>-819905.63501441246</v>
      </c>
      <c r="BH654" s="149">
        <f t="shared" si="259"/>
        <v>-837810.87336698617</v>
      </c>
      <c r="BI654" s="149">
        <f t="shared" si="259"/>
        <v>-856107.12935228646</v>
      </c>
      <c r="BJ654" s="149">
        <f t="shared" si="259"/>
        <v>-874802.94207971194</v>
      </c>
      <c r="BK654" s="149">
        <f t="shared" si="259"/>
        <v>-893907.03713718103</v>
      </c>
      <c r="BL654" s="149">
        <f t="shared" si="259"/>
        <v>-913428.33066348161</v>
      </c>
      <c r="BM654" s="149">
        <f t="shared" si="259"/>
        <v>-933233.82376186096</v>
      </c>
      <c r="BN654" s="149">
        <f t="shared" si="259"/>
        <v>-953468.75127091282</v>
      </c>
      <c r="BO654" s="149">
        <f t="shared" si="259"/>
        <v>-974142.42444141756</v>
      </c>
      <c r="BP654" s="149">
        <f t="shared" ref="BP654:CP654" si="260">Total_annual_sleep_disturbance_cost*Price_adjustment*(GDP_capita/GDP_capita_base)</f>
        <v>-995264.35641619982</v>
      </c>
      <c r="BQ654" s="149">
        <f t="shared" si="260"/>
        <v>-1016844.2666076719</v>
      </c>
      <c r="BR654" s="149">
        <f t="shared" si="260"/>
        <v>-1038862.4078067101</v>
      </c>
      <c r="BS654" s="149">
        <f t="shared" si="260"/>
        <v>-1061357.316744704</v>
      </c>
      <c r="BT654" s="149">
        <f t="shared" si="260"/>
        <v>-1084339.3170668182</v>
      </c>
      <c r="BU654" s="149">
        <f t="shared" si="260"/>
        <v>-1107818.9559602907</v>
      </c>
      <c r="BV654" s="149">
        <f t="shared" si="260"/>
        <v>-1131807.0089948815</v>
      </c>
      <c r="BW654" s="149">
        <f t="shared" si="260"/>
        <v>-1156412.1488228382</v>
      </c>
      <c r="BX654" s="149">
        <f t="shared" si="260"/>
        <v>-1181552.1969002944</v>
      </c>
      <c r="BY654" s="149">
        <f t="shared" si="260"/>
        <v>-1207238.7819697566</v>
      </c>
      <c r="BZ654" s="149">
        <f>Total_annual_sleep_disturbance_cost*Price_adjustment*(GDP_capita/GDP_capita_base)</f>
        <v>-1233483.7855790532</v>
      </c>
      <c r="CA654" s="149">
        <f t="shared" si="260"/>
        <v>-1260299.3475772443</v>
      </c>
      <c r="CB654" s="149">
        <f t="shared" si="260"/>
        <v>0</v>
      </c>
      <c r="CC654" s="149">
        <f t="shared" si="260"/>
        <v>0</v>
      </c>
      <c r="CD654" s="149">
        <f t="shared" si="260"/>
        <v>0</v>
      </c>
      <c r="CE654" s="149">
        <f t="shared" si="260"/>
        <v>0</v>
      </c>
      <c r="CF654" s="149">
        <f t="shared" si="260"/>
        <v>0</v>
      </c>
      <c r="CG654" s="149">
        <f t="shared" si="260"/>
        <v>0</v>
      </c>
      <c r="CH654" s="149">
        <f t="shared" si="260"/>
        <v>0</v>
      </c>
      <c r="CI654" s="149">
        <f t="shared" si="260"/>
        <v>0</v>
      </c>
      <c r="CJ654" s="149">
        <f t="shared" si="260"/>
        <v>0</v>
      </c>
      <c r="CK654" s="149">
        <f t="shared" si="260"/>
        <v>0</v>
      </c>
      <c r="CL654" s="149">
        <f t="shared" si="260"/>
        <v>0</v>
      </c>
      <c r="CM654" s="149">
        <f t="shared" si="260"/>
        <v>0</v>
      </c>
      <c r="CN654" s="149">
        <f t="shared" si="260"/>
        <v>0</v>
      </c>
      <c r="CO654" s="149">
        <f t="shared" si="260"/>
        <v>0</v>
      </c>
      <c r="CP654" s="149">
        <f t="shared" si="260"/>
        <v>0</v>
      </c>
      <c r="CQ654" s="14" t="s">
        <v>474</v>
      </c>
    </row>
    <row r="655" spans="1:95" ht="15" hidden="1" outlineLevel="2" x14ac:dyDescent="0.25">
      <c r="A655" s="131"/>
      <c r="B655" s="131" t="s">
        <v>66</v>
      </c>
      <c r="C655" s="131"/>
      <c r="D655" s="149">
        <f t="shared" ref="D655:AI655" si="261">Total_annual_amenity_cost*Price_adjustment*(GDP_capita/GDP_capita_base)</f>
        <v>0</v>
      </c>
      <c r="E655" s="149">
        <f t="shared" si="261"/>
        <v>0</v>
      </c>
      <c r="F655" s="149">
        <f t="shared" si="261"/>
        <v>0</v>
      </c>
      <c r="G655" s="149">
        <f t="shared" si="261"/>
        <v>0</v>
      </c>
      <c r="H655" s="149">
        <f t="shared" si="261"/>
        <v>0</v>
      </c>
      <c r="I655" s="149">
        <f t="shared" si="261"/>
        <v>0</v>
      </c>
      <c r="J655" s="149">
        <f>Total_annual_amenity_cost*Price_adjustment*(GDP_capita/GDP_capita_base)</f>
        <v>0</v>
      </c>
      <c r="K655" s="149">
        <f t="shared" si="261"/>
        <v>0</v>
      </c>
      <c r="L655" s="149">
        <f t="shared" si="261"/>
        <v>0</v>
      </c>
      <c r="M655" s="149">
        <f t="shared" si="261"/>
        <v>0</v>
      </c>
      <c r="N655" s="149">
        <f t="shared" si="261"/>
        <v>0</v>
      </c>
      <c r="O655" s="149">
        <f t="shared" si="261"/>
        <v>0</v>
      </c>
      <c r="P655" s="149">
        <f t="shared" si="261"/>
        <v>0</v>
      </c>
      <c r="Q655" s="149">
        <f t="shared" si="261"/>
        <v>0</v>
      </c>
      <c r="R655" s="149">
        <f t="shared" si="261"/>
        <v>0</v>
      </c>
      <c r="S655" s="149">
        <f t="shared" si="261"/>
        <v>0</v>
      </c>
      <c r="T655" s="149">
        <f t="shared" si="261"/>
        <v>-312539.69434019929</v>
      </c>
      <c r="U655" s="149">
        <f t="shared" si="261"/>
        <v>-315088.16551939741</v>
      </c>
      <c r="V655" s="149">
        <f t="shared" si="261"/>
        <v>-317668.49227145576</v>
      </c>
      <c r="W655" s="149">
        <f t="shared" si="261"/>
        <v>-320279.00000224932</v>
      </c>
      <c r="X655" s="149">
        <f t="shared" si="261"/>
        <v>-322917.51464626699</v>
      </c>
      <c r="Y655" s="149">
        <f t="shared" si="261"/>
        <v>-325580.87288319488</v>
      </c>
      <c r="Z655" s="149">
        <f t="shared" si="261"/>
        <v>-328264.83528764633</v>
      </c>
      <c r="AA655" s="149">
        <f t="shared" si="261"/>
        <v>-330963.63936889253</v>
      </c>
      <c r="AB655" s="149">
        <f t="shared" si="261"/>
        <v>-333996.60343974829</v>
      </c>
      <c r="AC655" s="149">
        <f t="shared" si="261"/>
        <v>-336708.78588480211</v>
      </c>
      <c r="AD655" s="149">
        <f t="shared" si="261"/>
        <v>-339416.20882763335</v>
      </c>
      <c r="AE655" s="149">
        <f t="shared" si="261"/>
        <v>-346518.06349243101</v>
      </c>
      <c r="AF655" s="149">
        <f t="shared" si="261"/>
        <v>-353768.5154792426</v>
      </c>
      <c r="AG655" s="149">
        <f t="shared" si="261"/>
        <v>-361170.67399899289</v>
      </c>
      <c r="AH655" s="149">
        <f t="shared" si="261"/>
        <v>-368727.71331891062</v>
      </c>
      <c r="AI655" s="149">
        <f t="shared" si="261"/>
        <v>-376510.84315347724</v>
      </c>
      <c r="AJ655" s="149">
        <f t="shared" ref="AJ655:BO655" si="262">Total_annual_amenity_cost*Price_adjustment*(GDP_capita/GDP_capita_base)</f>
        <v>-384458.25982582034</v>
      </c>
      <c r="AK655" s="149">
        <f t="shared" si="262"/>
        <v>-392573.43111376715</v>
      </c>
      <c r="AL655" s="149">
        <f t="shared" si="262"/>
        <v>-400859.89799323678</v>
      </c>
      <c r="AM655" s="149">
        <f t="shared" si="262"/>
        <v>-409321.27618331078</v>
      </c>
      <c r="AN655" s="149">
        <f t="shared" si="262"/>
        <v>-418479.33673650713</v>
      </c>
      <c r="AO655" s="149">
        <f t="shared" si="262"/>
        <v>-427425.29735044501</v>
      </c>
      <c r="AP655" s="149">
        <f t="shared" si="262"/>
        <v>-436562.49849714193</v>
      </c>
      <c r="AQ655" s="149">
        <f t="shared" si="262"/>
        <v>-445895.02838388475</v>
      </c>
      <c r="AR655" s="149">
        <f t="shared" si="262"/>
        <v>-455427.0626128164</v>
      </c>
      <c r="AS655" s="149">
        <f t="shared" si="262"/>
        <v>-464856.64202990511</v>
      </c>
      <c r="AT655" s="149">
        <f t="shared" si="262"/>
        <v>-474481.46010381199</v>
      </c>
      <c r="AU655" s="149">
        <f t="shared" si="262"/>
        <v>-484305.55923467292</v>
      </c>
      <c r="AV655" s="149">
        <f t="shared" si="262"/>
        <v>-494333.06552018196</v>
      </c>
      <c r="AW655" s="149">
        <f t="shared" si="262"/>
        <v>-504568.19048854237</v>
      </c>
      <c r="AX655" s="149">
        <f t="shared" si="262"/>
        <v>-515136.22791790467</v>
      </c>
      <c r="AY655" s="149">
        <f t="shared" si="262"/>
        <v>-525925.6098894194</v>
      </c>
      <c r="AZ655" s="149">
        <f t="shared" si="262"/>
        <v>-537465.32882001111</v>
      </c>
      <c r="BA655" s="149">
        <f t="shared" si="262"/>
        <v>-549258.2491739468</v>
      </c>
      <c r="BB655" s="149">
        <f t="shared" si="262"/>
        <v>-561857.54606968374</v>
      </c>
      <c r="BC655" s="149">
        <f t="shared" si="262"/>
        <v>-574779.28671466594</v>
      </c>
      <c r="BD655" s="149">
        <f t="shared" si="262"/>
        <v>-587982.90286334697</v>
      </c>
      <c r="BE655" s="149">
        <f t="shared" si="262"/>
        <v>-601489.82757486496</v>
      </c>
      <c r="BF655" s="149">
        <f t="shared" si="262"/>
        <v>-614707.31388822198</v>
      </c>
      <c r="BG655" s="149">
        <f t="shared" si="262"/>
        <v>-628215.24891149008</v>
      </c>
      <c r="BH655" s="149">
        <f t="shared" si="262"/>
        <v>-641934.3200925095</v>
      </c>
      <c r="BI655" s="149">
        <f t="shared" si="262"/>
        <v>-655952.99067738932</v>
      </c>
      <c r="BJ655" s="149">
        <f t="shared" si="262"/>
        <v>-670277.80336873734</v>
      </c>
      <c r="BK655" s="149">
        <f t="shared" si="262"/>
        <v>-684915.44374981092</v>
      </c>
      <c r="BL655" s="149">
        <f t="shared" si="262"/>
        <v>-699872.74340476887</v>
      </c>
      <c r="BM655" s="149">
        <f t="shared" si="262"/>
        <v>-715047.79800284398</v>
      </c>
      <c r="BN655" s="149">
        <f t="shared" si="262"/>
        <v>-730551.88710644131</v>
      </c>
      <c r="BO655" s="149">
        <f t="shared" si="262"/>
        <v>-746392.14503623964</v>
      </c>
      <c r="BP655" s="149">
        <f t="shared" ref="BP655:CP655" si="263">Total_annual_amenity_cost*Price_adjustment*(GDP_capita/GDP_capita_base)</f>
        <v>-762575.86080347688</v>
      </c>
      <c r="BQ655" s="149">
        <f t="shared" si="263"/>
        <v>-779110.48146404221</v>
      </c>
      <c r="BR655" s="149">
        <f t="shared" si="263"/>
        <v>-795980.87662077136</v>
      </c>
      <c r="BS655" s="149">
        <f t="shared" si="263"/>
        <v>-813216.57328417443</v>
      </c>
      <c r="BT655" s="149">
        <f t="shared" si="263"/>
        <v>-830825.48147589224</v>
      </c>
      <c r="BU655" s="149">
        <f t="shared" si="263"/>
        <v>-848815.6824964711</v>
      </c>
      <c r="BV655" s="149">
        <f t="shared" si="263"/>
        <v>-867195.43263413501</v>
      </c>
      <c r="BW655" s="149">
        <f t="shared" si="263"/>
        <v>-886047.9973457437</v>
      </c>
      <c r="BX655" s="149">
        <f t="shared" si="263"/>
        <v>-905310.41107503627</v>
      </c>
      <c r="BY655" s="149">
        <f t="shared" si="263"/>
        <v>-924991.58381489036</v>
      </c>
      <c r="BZ655" s="149">
        <f t="shared" si="263"/>
        <v>-945100.61925871589</v>
      </c>
      <c r="CA655" s="149">
        <f t="shared" si="263"/>
        <v>-965646.81901144597</v>
      </c>
      <c r="CB655" s="149">
        <f t="shared" si="263"/>
        <v>0</v>
      </c>
      <c r="CC655" s="149">
        <f t="shared" si="263"/>
        <v>0</v>
      </c>
      <c r="CD655" s="149">
        <f t="shared" si="263"/>
        <v>0</v>
      </c>
      <c r="CE655" s="149">
        <f t="shared" si="263"/>
        <v>0</v>
      </c>
      <c r="CF655" s="149">
        <f t="shared" si="263"/>
        <v>0</v>
      </c>
      <c r="CG655" s="149">
        <f t="shared" si="263"/>
        <v>0</v>
      </c>
      <c r="CH655" s="149">
        <f t="shared" si="263"/>
        <v>0</v>
      </c>
      <c r="CI655" s="149">
        <f t="shared" si="263"/>
        <v>0</v>
      </c>
      <c r="CJ655" s="149">
        <f t="shared" si="263"/>
        <v>0</v>
      </c>
      <c r="CK655" s="149">
        <f t="shared" si="263"/>
        <v>0</v>
      </c>
      <c r="CL655" s="149">
        <f t="shared" si="263"/>
        <v>0</v>
      </c>
      <c r="CM655" s="149">
        <f t="shared" si="263"/>
        <v>0</v>
      </c>
      <c r="CN655" s="149">
        <f t="shared" si="263"/>
        <v>0</v>
      </c>
      <c r="CO655" s="149">
        <f t="shared" si="263"/>
        <v>0</v>
      </c>
      <c r="CP655" s="149">
        <f t="shared" si="263"/>
        <v>0</v>
      </c>
      <c r="CQ655" s="14" t="s">
        <v>478</v>
      </c>
    </row>
    <row r="656" spans="1:95" ht="15" hidden="1" outlineLevel="2" x14ac:dyDescent="0.25">
      <c r="A656" s="131"/>
      <c r="B656" s="131" t="s">
        <v>67</v>
      </c>
      <c r="C656" s="131"/>
      <c r="D656" s="149">
        <f t="shared" ref="D656:AI656" si="264">Total_annual_AMI_cost*Price_adjustment*(GDP_capita/GDP_capita_base)</f>
        <v>0</v>
      </c>
      <c r="E656" s="149">
        <f t="shared" si="264"/>
        <v>0</v>
      </c>
      <c r="F656" s="149">
        <f t="shared" si="264"/>
        <v>0</v>
      </c>
      <c r="G656" s="149">
        <f t="shared" si="264"/>
        <v>0</v>
      </c>
      <c r="H656" s="149">
        <f t="shared" si="264"/>
        <v>0</v>
      </c>
      <c r="I656" s="149">
        <f t="shared" si="264"/>
        <v>0</v>
      </c>
      <c r="J656" s="149">
        <f t="shared" si="264"/>
        <v>0</v>
      </c>
      <c r="K656" s="149">
        <f t="shared" si="264"/>
        <v>0</v>
      </c>
      <c r="L656" s="149">
        <f t="shared" si="264"/>
        <v>0</v>
      </c>
      <c r="M656" s="149">
        <f t="shared" si="264"/>
        <v>0</v>
      </c>
      <c r="N656" s="149">
        <f t="shared" si="264"/>
        <v>0</v>
      </c>
      <c r="O656" s="149">
        <f t="shared" si="264"/>
        <v>0</v>
      </c>
      <c r="P656" s="149">
        <f t="shared" si="264"/>
        <v>0</v>
      </c>
      <c r="Q656" s="149">
        <f t="shared" si="264"/>
        <v>0</v>
      </c>
      <c r="R656" s="149">
        <f t="shared" si="264"/>
        <v>0</v>
      </c>
      <c r="S656" s="149">
        <f t="shared" si="264"/>
        <v>0</v>
      </c>
      <c r="T656" s="149">
        <f t="shared" si="264"/>
        <v>-25946.981496133245</v>
      </c>
      <c r="U656" s="149">
        <f t="shared" si="264"/>
        <v>-26089.370024390337</v>
      </c>
      <c r="V656" s="149">
        <f t="shared" si="264"/>
        <v>-26231.668102604297</v>
      </c>
      <c r="W656" s="149">
        <f t="shared" si="264"/>
        <v>-26373.621045743381</v>
      </c>
      <c r="X656" s="149">
        <f t="shared" si="264"/>
        <v>-26514.929242041766</v>
      </c>
      <c r="Y656" s="149">
        <f t="shared" si="264"/>
        <v>-26655.20842322669</v>
      </c>
      <c r="Z656" s="149">
        <f t="shared" si="264"/>
        <v>-26793.983574781068</v>
      </c>
      <c r="AA656" s="149">
        <f t="shared" si="264"/>
        <v>-26930.65374859278</v>
      </c>
      <c r="AB656" s="149">
        <f t="shared" si="264"/>
        <v>-27090.985259978301</v>
      </c>
      <c r="AC656" s="149">
        <f t="shared" si="264"/>
        <v>-27221.633584482497</v>
      </c>
      <c r="AD656" s="149">
        <f t="shared" si="264"/>
        <v>-27348.181522232055</v>
      </c>
      <c r="AE656" s="149">
        <f t="shared" si="264"/>
        <v>-27920.407613579478</v>
      </c>
      <c r="AF656" s="149">
        <f t="shared" si="264"/>
        <v>-28504.606811780552</v>
      </c>
      <c r="AG656" s="149">
        <f t="shared" si="264"/>
        <v>-29101.029638945151</v>
      </c>
      <c r="AH656" s="149">
        <f t="shared" si="264"/>
        <v>-29709.931859041277</v>
      </c>
      <c r="AI656" s="149">
        <f t="shared" si="264"/>
        <v>-30337.051136173151</v>
      </c>
      <c r="AJ656" s="149">
        <f t="shared" ref="AJ656:BO656" si="265">Total_annual_AMI_cost*Price_adjustment*(GDP_capita/GDP_capita_base)</f>
        <v>-30977.407689971173</v>
      </c>
      <c r="AK656" s="149">
        <f t="shared" si="265"/>
        <v>-31631.2809337781</v>
      </c>
      <c r="AL656" s="149">
        <f t="shared" si="265"/>
        <v>-32298.956178812685</v>
      </c>
      <c r="AM656" s="149">
        <f t="shared" si="265"/>
        <v>-32980.724758662429</v>
      </c>
      <c r="AN656" s="149">
        <f t="shared" si="265"/>
        <v>-33718.627946213484</v>
      </c>
      <c r="AO656" s="149">
        <f t="shared" si="265"/>
        <v>-34439.44135581985</v>
      </c>
      <c r="AP656" s="149">
        <f t="shared" si="265"/>
        <v>-35175.663813869614</v>
      </c>
      <c r="AQ656" s="149">
        <f t="shared" si="265"/>
        <v>-35927.624724298359</v>
      </c>
      <c r="AR656" s="149">
        <f t="shared" si="265"/>
        <v>-36695.660532810187</v>
      </c>
      <c r="AS656" s="149">
        <f t="shared" si="265"/>
        <v>-37455.441129227744</v>
      </c>
      <c r="AT656" s="149">
        <f t="shared" si="265"/>
        <v>-38230.952919642375</v>
      </c>
      <c r="AU656" s="149">
        <f t="shared" si="265"/>
        <v>-39022.521617116188</v>
      </c>
      <c r="AV656" s="149">
        <f t="shared" si="265"/>
        <v>-39830.479678573087</v>
      </c>
      <c r="AW656" s="149">
        <f t="shared" si="265"/>
        <v>-40655.166444429924</v>
      </c>
      <c r="AX656" s="149">
        <f t="shared" si="265"/>
        <v>-41506.677357683671</v>
      </c>
      <c r="AY656" s="149">
        <f t="shared" si="265"/>
        <v>-42376.02292514751</v>
      </c>
      <c r="AZ656" s="149">
        <f t="shared" si="265"/>
        <v>-43305.826275197964</v>
      </c>
      <c r="BA656" s="149">
        <f t="shared" si="265"/>
        <v>-44256.031121426866</v>
      </c>
      <c r="BB656" s="149">
        <f t="shared" si="265"/>
        <v>-45271.209093472658</v>
      </c>
      <c r="BC656" s="149">
        <f t="shared" si="265"/>
        <v>-46312.367705086399</v>
      </c>
      <c r="BD656" s="149">
        <f t="shared" si="265"/>
        <v>-47376.238203290508</v>
      </c>
      <c r="BE656" s="149">
        <f t="shared" si="265"/>
        <v>-48464.547539175241</v>
      </c>
      <c r="BF656" s="149">
        <f t="shared" si="265"/>
        <v>-49529.535614476241</v>
      </c>
      <c r="BG656" s="149">
        <f t="shared" si="265"/>
        <v>-50617.926355398267</v>
      </c>
      <c r="BH656" s="149">
        <f t="shared" si="265"/>
        <v>-51723.329218363702</v>
      </c>
      <c r="BI656" s="149">
        <f t="shared" si="265"/>
        <v>-52852.872056579676</v>
      </c>
      <c r="BJ656" s="149">
        <f t="shared" si="265"/>
        <v>-54007.082042920978</v>
      </c>
      <c r="BK656" s="149">
        <f t="shared" si="265"/>
        <v>-55186.497862753095</v>
      </c>
      <c r="BL656" s="149">
        <f t="shared" si="265"/>
        <v>-56391.669965343935</v>
      </c>
      <c r="BM656" s="149">
        <f t="shared" si="265"/>
        <v>-57614.387493158567</v>
      </c>
      <c r="BN656" s="149">
        <f t="shared" si="265"/>
        <v>-58863.616705300781</v>
      </c>
      <c r="BO656" s="149">
        <f t="shared" si="265"/>
        <v>-60139.932443784252</v>
      </c>
      <c r="BP656" s="149">
        <f t="shared" ref="BP656:CP656" si="266">Total_annual_AMI_cost*Price_adjustment*(GDP_capita/GDP_capita_base)</f>
        <v>-61443.922014687087</v>
      </c>
      <c r="BQ656" s="149">
        <f t="shared" si="266"/>
        <v>-62776.185458405023</v>
      </c>
      <c r="BR656" s="149">
        <f t="shared" si="266"/>
        <v>-64135.503655646207</v>
      </c>
      <c r="BS656" s="149">
        <f t="shared" si="266"/>
        <v>-65524.255720967427</v>
      </c>
      <c r="BT656" s="149">
        <f t="shared" si="266"/>
        <v>-66943.078997848628</v>
      </c>
      <c r="BU656" s="149">
        <f t="shared" si="266"/>
        <v>-68392.624630426508</v>
      </c>
      <c r="BV656" s="149">
        <f t="shared" si="266"/>
        <v>-69873.557862325761</v>
      </c>
      <c r="BW656" s="149">
        <f t="shared" si="266"/>
        <v>-71392.587739165057</v>
      </c>
      <c r="BX656" s="149">
        <f t="shared" si="266"/>
        <v>-72944.640863099849</v>
      </c>
      <c r="BY656" s="149">
        <f t="shared" si="266"/>
        <v>-74530.435149468976</v>
      </c>
      <c r="BZ656" s="149">
        <f t="shared" si="266"/>
        <v>-76150.704120872222</v>
      </c>
      <c r="CA656" s="149">
        <f t="shared" si="266"/>
        <v>-77806.197246467331</v>
      </c>
      <c r="CB656" s="149">
        <f t="shared" si="266"/>
        <v>0</v>
      </c>
      <c r="CC656" s="149">
        <f t="shared" si="266"/>
        <v>0</v>
      </c>
      <c r="CD656" s="149">
        <f t="shared" si="266"/>
        <v>0</v>
      </c>
      <c r="CE656" s="149">
        <f t="shared" si="266"/>
        <v>0</v>
      </c>
      <c r="CF656" s="149">
        <f t="shared" si="266"/>
        <v>0</v>
      </c>
      <c r="CG656" s="149">
        <f t="shared" si="266"/>
        <v>0</v>
      </c>
      <c r="CH656" s="149">
        <f t="shared" si="266"/>
        <v>0</v>
      </c>
      <c r="CI656" s="149">
        <f t="shared" si="266"/>
        <v>0</v>
      </c>
      <c r="CJ656" s="149">
        <f t="shared" si="266"/>
        <v>0</v>
      </c>
      <c r="CK656" s="149">
        <f t="shared" si="266"/>
        <v>0</v>
      </c>
      <c r="CL656" s="149">
        <f t="shared" si="266"/>
        <v>0</v>
      </c>
      <c r="CM656" s="149">
        <f t="shared" si="266"/>
        <v>0</v>
      </c>
      <c r="CN656" s="149">
        <f t="shared" si="266"/>
        <v>0</v>
      </c>
      <c r="CO656" s="149">
        <f t="shared" si="266"/>
        <v>0</v>
      </c>
      <c r="CP656" s="149">
        <f t="shared" si="266"/>
        <v>0</v>
      </c>
      <c r="CQ656" s="14" t="s">
        <v>477</v>
      </c>
    </row>
    <row r="657" spans="1:95" ht="15" hidden="1" outlineLevel="2" x14ac:dyDescent="0.25">
      <c r="A657" s="131"/>
      <c r="B657" s="131" t="s">
        <v>68</v>
      </c>
      <c r="C657" s="131"/>
      <c r="D657" s="149">
        <f t="shared" ref="D657:AI657" si="267">Total_annual_stroke_cost*Price_adjustment*(GDP_capita/GDP_capita_base)</f>
        <v>0</v>
      </c>
      <c r="E657" s="149">
        <f t="shared" si="267"/>
        <v>0</v>
      </c>
      <c r="F657" s="149">
        <f t="shared" si="267"/>
        <v>0</v>
      </c>
      <c r="G657" s="149">
        <f t="shared" si="267"/>
        <v>0</v>
      </c>
      <c r="H657" s="149">
        <f t="shared" si="267"/>
        <v>0</v>
      </c>
      <c r="I657" s="149">
        <f t="shared" si="267"/>
        <v>0</v>
      </c>
      <c r="J657" s="149">
        <f t="shared" si="267"/>
        <v>0</v>
      </c>
      <c r="K657" s="149">
        <f t="shared" si="267"/>
        <v>0</v>
      </c>
      <c r="L657" s="149">
        <f t="shared" si="267"/>
        <v>0</v>
      </c>
      <c r="M657" s="149">
        <f t="shared" si="267"/>
        <v>0</v>
      </c>
      <c r="N657" s="149">
        <f t="shared" si="267"/>
        <v>0</v>
      </c>
      <c r="O657" s="149">
        <f t="shared" si="267"/>
        <v>0</v>
      </c>
      <c r="P657" s="149">
        <f t="shared" si="267"/>
        <v>0</v>
      </c>
      <c r="Q657" s="149">
        <f t="shared" si="267"/>
        <v>0</v>
      </c>
      <c r="R657" s="149">
        <f t="shared" si="267"/>
        <v>0</v>
      </c>
      <c r="S657" s="149">
        <f t="shared" si="267"/>
        <v>0</v>
      </c>
      <c r="T657" s="149">
        <f t="shared" si="267"/>
        <v>-45017.679244263432</v>
      </c>
      <c r="U657" s="149">
        <f t="shared" si="267"/>
        <v>-45441.550724058579</v>
      </c>
      <c r="V657" s="149">
        <f t="shared" si="267"/>
        <v>-45872.255867310014</v>
      </c>
      <c r="W657" s="149">
        <f t="shared" si="267"/>
        <v>-46309.648414279109</v>
      </c>
      <c r="X657" s="149">
        <f t="shared" si="267"/>
        <v>-46753.513003140157</v>
      </c>
      <c r="Y657" s="149">
        <f t="shared" si="267"/>
        <v>-47203.493857384747</v>
      </c>
      <c r="Z657" s="149">
        <f t="shared" si="267"/>
        <v>-47659.081356194089</v>
      </c>
      <c r="AA657" s="149">
        <f t="shared" si="267"/>
        <v>-48119.546079578213</v>
      </c>
      <c r="AB657" s="149">
        <f t="shared" si="267"/>
        <v>-48631.492366449311</v>
      </c>
      <c r="AC657" s="149">
        <f t="shared" si="267"/>
        <v>-49099.739180038348</v>
      </c>
      <c r="AD657" s="149">
        <f t="shared" si="267"/>
        <v>-49570.342090909653</v>
      </c>
      <c r="AE657" s="149">
        <f t="shared" si="267"/>
        <v>-50607.538771733824</v>
      </c>
      <c r="AF657" s="149">
        <f t="shared" si="267"/>
        <v>-51666.43748061217</v>
      </c>
      <c r="AG657" s="149">
        <f t="shared" si="267"/>
        <v>-52747.492305019514</v>
      </c>
      <c r="AH657" s="149">
        <f t="shared" si="267"/>
        <v>-53851.166833636431</v>
      </c>
      <c r="AI657" s="149">
        <f t="shared" si="267"/>
        <v>-54987.860952547409</v>
      </c>
      <c r="AJ657" s="149">
        <f t="shared" ref="AJ657:BO657" si="268">Total_annual_stroke_cost*Price_adjustment*(GDP_capita/GDP_capita_base)</f>
        <v>-56148.548488796187</v>
      </c>
      <c r="AK657" s="149">
        <f t="shared" si="268"/>
        <v>-57333.735897079729</v>
      </c>
      <c r="AL657" s="149">
        <f t="shared" si="268"/>
        <v>-58543.940322375471</v>
      </c>
      <c r="AM657" s="149">
        <f t="shared" si="268"/>
        <v>-59779.689825592417</v>
      </c>
      <c r="AN657" s="149">
        <f t="shared" si="268"/>
        <v>-61117.186924152462</v>
      </c>
      <c r="AO657" s="149">
        <f t="shared" si="268"/>
        <v>-62423.707698444377</v>
      </c>
      <c r="AP657" s="149">
        <f t="shared" si="268"/>
        <v>-63758.1583664301</v>
      </c>
      <c r="AQ657" s="149">
        <f t="shared" si="268"/>
        <v>-65121.13599397886</v>
      </c>
      <c r="AR657" s="149">
        <f t="shared" si="268"/>
        <v>-66513.250410619323</v>
      </c>
      <c r="AS657" s="149">
        <f t="shared" si="268"/>
        <v>-67890.401723142131</v>
      </c>
      <c r="AT657" s="149">
        <f t="shared" si="268"/>
        <v>-69296.066838942832</v>
      </c>
      <c r="AU657" s="149">
        <f t="shared" si="268"/>
        <v>-70730.836133944569</v>
      </c>
      <c r="AV657" s="149">
        <f t="shared" si="268"/>
        <v>-72195.31220775476</v>
      </c>
      <c r="AW657" s="149">
        <f t="shared" si="268"/>
        <v>-73690.110136755524</v>
      </c>
      <c r="AX657" s="149">
        <f t="shared" si="268"/>
        <v>-75233.528562211635</v>
      </c>
      <c r="AY657" s="149">
        <f t="shared" si="268"/>
        <v>-76809.273448187552</v>
      </c>
      <c r="AZ657" s="149">
        <f t="shared" si="268"/>
        <v>-78494.601962692497</v>
      </c>
      <c r="BA657" s="149">
        <f t="shared" si="268"/>
        <v>-80216.909504264011</v>
      </c>
      <c r="BB657" s="149">
        <f t="shared" si="268"/>
        <v>-82056.985025064438</v>
      </c>
      <c r="BC657" s="149">
        <f t="shared" si="268"/>
        <v>-83944.152130000977</v>
      </c>
      <c r="BD657" s="149">
        <f t="shared" si="268"/>
        <v>-85872.485993571885</v>
      </c>
      <c r="BE657" s="149">
        <f t="shared" si="268"/>
        <v>-87845.116825961275</v>
      </c>
      <c r="BF657" s="149">
        <f t="shared" si="268"/>
        <v>-89775.476370068223</v>
      </c>
      <c r="BG657" s="149">
        <f t="shared" si="268"/>
        <v>-91748.254754335736</v>
      </c>
      <c r="BH657" s="149">
        <f t="shared" si="268"/>
        <v>-93751.868706543974</v>
      </c>
      <c r="BI657" s="149">
        <f t="shared" si="268"/>
        <v>-95799.237920149098</v>
      </c>
      <c r="BJ657" s="149">
        <f t="shared" si="268"/>
        <v>-97891.317929972472</v>
      </c>
      <c r="BK657" s="149">
        <f t="shared" si="268"/>
        <v>-100029.08513796698</v>
      </c>
      <c r="BL657" s="149">
        <f t="shared" si="268"/>
        <v>-102213.53726891703</v>
      </c>
      <c r="BM657" s="149">
        <f t="shared" si="268"/>
        <v>-104429.79161420323</v>
      </c>
      <c r="BN657" s="149">
        <f t="shared" si="268"/>
        <v>-106694.10009648776</v>
      </c>
      <c r="BO657" s="149">
        <f t="shared" si="268"/>
        <v>-109007.5046539793</v>
      </c>
      <c r="BP657" s="149">
        <f t="shared" ref="BP657:CP657" si="269">Total_annual_stroke_cost*Price_adjustment*(GDP_capita/GDP_capita_base)</f>
        <v>-111371.06981680686</v>
      </c>
      <c r="BQ657" s="149">
        <f t="shared" si="269"/>
        <v>-113785.8831968711</v>
      </c>
      <c r="BR657" s="149">
        <f t="shared" si="269"/>
        <v>-116249.73506186137</v>
      </c>
      <c r="BS657" s="149">
        <f t="shared" si="269"/>
        <v>-118766.93771028856</v>
      </c>
      <c r="BT657" s="149">
        <f t="shared" si="269"/>
        <v>-121338.64636829833</v>
      </c>
      <c r="BU657" s="149">
        <f t="shared" si="269"/>
        <v>-123966.04127661634</v>
      </c>
      <c r="BV657" s="149">
        <f t="shared" si="269"/>
        <v>-126650.32823219932</v>
      </c>
      <c r="BW657" s="149">
        <f t="shared" si="269"/>
        <v>-129403.66781274963</v>
      </c>
      <c r="BX657" s="149">
        <f t="shared" si="269"/>
        <v>-132216.86415760237</v>
      </c>
      <c r="BY657" s="149">
        <f t="shared" si="269"/>
        <v>-135091.21853459175</v>
      </c>
      <c r="BZ657" s="149">
        <f t="shared" si="269"/>
        <v>-138028.06050071857</v>
      </c>
      <c r="CA657" s="149">
        <f t="shared" si="269"/>
        <v>-141028.74851714802</v>
      </c>
      <c r="CB657" s="149">
        <f t="shared" si="269"/>
        <v>0</v>
      </c>
      <c r="CC657" s="149">
        <f t="shared" si="269"/>
        <v>0</v>
      </c>
      <c r="CD657" s="149">
        <f t="shared" si="269"/>
        <v>0</v>
      </c>
      <c r="CE657" s="149">
        <f t="shared" si="269"/>
        <v>0</v>
      </c>
      <c r="CF657" s="149">
        <f t="shared" si="269"/>
        <v>0</v>
      </c>
      <c r="CG657" s="149">
        <f t="shared" si="269"/>
        <v>0</v>
      </c>
      <c r="CH657" s="149">
        <f t="shared" si="269"/>
        <v>0</v>
      </c>
      <c r="CI657" s="149">
        <f t="shared" si="269"/>
        <v>0</v>
      </c>
      <c r="CJ657" s="149">
        <f t="shared" si="269"/>
        <v>0</v>
      </c>
      <c r="CK657" s="149">
        <f t="shared" si="269"/>
        <v>0</v>
      </c>
      <c r="CL657" s="149">
        <f t="shared" si="269"/>
        <v>0</v>
      </c>
      <c r="CM657" s="149">
        <f t="shared" si="269"/>
        <v>0</v>
      </c>
      <c r="CN657" s="149">
        <f t="shared" si="269"/>
        <v>0</v>
      </c>
      <c r="CO657" s="149">
        <f t="shared" si="269"/>
        <v>0</v>
      </c>
      <c r="CP657" s="149">
        <f t="shared" si="269"/>
        <v>0</v>
      </c>
      <c r="CQ657" s="14" t="s">
        <v>476</v>
      </c>
    </row>
    <row r="658" spans="1:95" ht="15" hidden="1" outlineLevel="2" x14ac:dyDescent="0.25">
      <c r="A658" s="131"/>
      <c r="B658" s="131" t="s">
        <v>69</v>
      </c>
      <c r="C658" s="131"/>
      <c r="D658" s="149">
        <f t="shared" ref="D658:AI658" si="270">Total_annual_dementia_cost*Price_adjustment*(GDP_capita/GDP_capita_base)</f>
        <v>0</v>
      </c>
      <c r="E658" s="149">
        <f t="shared" si="270"/>
        <v>0</v>
      </c>
      <c r="F658" s="149">
        <f t="shared" si="270"/>
        <v>0</v>
      </c>
      <c r="G658" s="149">
        <f t="shared" si="270"/>
        <v>0</v>
      </c>
      <c r="H658" s="149">
        <f t="shared" si="270"/>
        <v>0</v>
      </c>
      <c r="I658" s="149">
        <f t="shared" si="270"/>
        <v>0</v>
      </c>
      <c r="J658" s="149">
        <f t="shared" si="270"/>
        <v>0</v>
      </c>
      <c r="K658" s="149">
        <f t="shared" si="270"/>
        <v>0</v>
      </c>
      <c r="L658" s="149">
        <f t="shared" si="270"/>
        <v>0</v>
      </c>
      <c r="M658" s="149">
        <f t="shared" si="270"/>
        <v>0</v>
      </c>
      <c r="N658" s="149">
        <f t="shared" si="270"/>
        <v>0</v>
      </c>
      <c r="O658" s="149">
        <f t="shared" si="270"/>
        <v>0</v>
      </c>
      <c r="P658" s="149">
        <f t="shared" si="270"/>
        <v>0</v>
      </c>
      <c r="Q658" s="149">
        <f t="shared" si="270"/>
        <v>0</v>
      </c>
      <c r="R658" s="149">
        <f t="shared" si="270"/>
        <v>0</v>
      </c>
      <c r="S658" s="149">
        <f t="shared" si="270"/>
        <v>0</v>
      </c>
      <c r="T658" s="149">
        <f t="shared" si="270"/>
        <v>-68076.1474347365</v>
      </c>
      <c r="U658" s="149">
        <f t="shared" si="270"/>
        <v>-68717.260474809285</v>
      </c>
      <c r="V658" s="149">
        <f t="shared" si="270"/>
        <v>-69368.712610432325</v>
      </c>
      <c r="W658" s="149">
        <f t="shared" si="270"/>
        <v>-70030.282884787332</v>
      </c>
      <c r="X658" s="149">
        <f t="shared" si="270"/>
        <v>-70701.645850784116</v>
      </c>
      <c r="Y658" s="149">
        <f t="shared" si="270"/>
        <v>-71382.263729738595</v>
      </c>
      <c r="Z658" s="149">
        <f t="shared" si="270"/>
        <v>-72071.366100849962</v>
      </c>
      <c r="AA658" s="149">
        <f t="shared" si="270"/>
        <v>-72767.850160029499</v>
      </c>
      <c r="AB658" s="149">
        <f t="shared" si="270"/>
        <v>-73542.19282045521</v>
      </c>
      <c r="AC658" s="149">
        <f t="shared" si="270"/>
        <v>-74250.458502200607</v>
      </c>
      <c r="AD658" s="149">
        <f t="shared" si="270"/>
        <v>-74962.294095638994</v>
      </c>
      <c r="AE658" s="149">
        <f t="shared" si="270"/>
        <v>-76530.785240613754</v>
      </c>
      <c r="AF658" s="149">
        <f t="shared" si="270"/>
        <v>-78132.095077993072</v>
      </c>
      <c r="AG658" s="149">
        <f t="shared" si="270"/>
        <v>-79766.910297385984</v>
      </c>
      <c r="AH658" s="149">
        <f t="shared" si="270"/>
        <v>-81435.931956512664</v>
      </c>
      <c r="AI658" s="149">
        <f t="shared" si="270"/>
        <v>-83154.887187491666</v>
      </c>
      <c r="AJ658" s="149">
        <f t="shared" ref="AJ658:BO658" si="271">Total_annual_dementia_cost*Price_adjustment*(GDP_capita/GDP_capita_base)</f>
        <v>-84910.12624325318</v>
      </c>
      <c r="AK658" s="149">
        <f t="shared" si="271"/>
        <v>-86702.415005256538</v>
      </c>
      <c r="AL658" s="149">
        <f t="shared" si="271"/>
        <v>-88532.535521239406</v>
      </c>
      <c r="AM658" s="149">
        <f t="shared" si="271"/>
        <v>-90401.286346456662</v>
      </c>
      <c r="AN658" s="149">
        <f t="shared" si="271"/>
        <v>-92423.904037301851</v>
      </c>
      <c r="AO658" s="149">
        <f t="shared" si="271"/>
        <v>-94399.67806655739</v>
      </c>
      <c r="AP658" s="149">
        <f t="shared" si="271"/>
        <v>-96417.688820774318</v>
      </c>
      <c r="AQ658" s="149">
        <f t="shared" si="271"/>
        <v>-98478.83920732417</v>
      </c>
      <c r="AR658" s="149">
        <f t="shared" si="271"/>
        <v>-100584.05143530511</v>
      </c>
      <c r="AS658" s="149">
        <f t="shared" si="271"/>
        <v>-102666.63584664934</v>
      </c>
      <c r="AT658" s="149">
        <f t="shared" si="271"/>
        <v>-104792.33999485527</v>
      </c>
      <c r="AU658" s="149">
        <f t="shared" si="271"/>
        <v>-106962.05667048492</v>
      </c>
      <c r="AV658" s="149">
        <f t="shared" si="271"/>
        <v>-109176.69714925453</v>
      </c>
      <c r="AW658" s="149">
        <f t="shared" si="271"/>
        <v>-111437.19157476821</v>
      </c>
      <c r="AX658" s="149">
        <f t="shared" si="271"/>
        <v>-113771.21189904767</v>
      </c>
      <c r="AY658" s="149">
        <f t="shared" si="271"/>
        <v>-116154.11761605073</v>
      </c>
      <c r="AZ658" s="149">
        <f t="shared" si="271"/>
        <v>-118702.74016782557</v>
      </c>
      <c r="BA658" s="149">
        <f t="shared" si="271"/>
        <v>-121307.28391331037</v>
      </c>
      <c r="BB658" s="149">
        <f t="shared" si="271"/>
        <v>-124089.92120266899</v>
      </c>
      <c r="BC658" s="149">
        <f t="shared" si="271"/>
        <v>-126943.77230719487</v>
      </c>
      <c r="BD658" s="149">
        <f t="shared" si="271"/>
        <v>-129859.87746399366</v>
      </c>
      <c r="BE658" s="149">
        <f t="shared" si="271"/>
        <v>-132842.97030463832</v>
      </c>
      <c r="BF658" s="149">
        <f t="shared" si="271"/>
        <v>-135762.13877820439</v>
      </c>
      <c r="BG658" s="149">
        <f t="shared" si="271"/>
        <v>-138745.45475282019</v>
      </c>
      <c r="BH658" s="149">
        <f t="shared" si="271"/>
        <v>-141775.40153156358</v>
      </c>
      <c r="BI658" s="149">
        <f t="shared" si="271"/>
        <v>-144871.51680208478</v>
      </c>
      <c r="BJ658" s="149">
        <f t="shared" si="271"/>
        <v>-148035.24556313251</v>
      </c>
      <c r="BK658" s="149">
        <f t="shared" si="271"/>
        <v>-151268.06436958342</v>
      </c>
      <c r="BL658" s="149">
        <f t="shared" si="271"/>
        <v>-154571.48202156997</v>
      </c>
      <c r="BM658" s="149">
        <f t="shared" si="271"/>
        <v>-157922.99227980862</v>
      </c>
      <c r="BN658" s="149">
        <f t="shared" si="271"/>
        <v>-161347.17196493104</v>
      </c>
      <c r="BO658" s="149">
        <f t="shared" si="271"/>
        <v>-164845.5967384142</v>
      </c>
      <c r="BP658" s="149">
        <f t="shared" ref="BP658:CP658" si="272">Total_annual_dementia_cost*Price_adjustment*(GDP_capita/GDP_capita_base)</f>
        <v>-168419.87642615873</v>
      </c>
      <c r="BQ658" s="149">
        <f t="shared" si="272"/>
        <v>-172071.65575926233</v>
      </c>
      <c r="BR658" s="149">
        <f t="shared" si="272"/>
        <v>-175797.59309035368</v>
      </c>
      <c r="BS658" s="149">
        <f t="shared" si="272"/>
        <v>-179604.20965321022</v>
      </c>
      <c r="BT658" s="149">
        <f t="shared" si="272"/>
        <v>-183493.25242794992</v>
      </c>
      <c r="BU658" s="149">
        <f t="shared" si="272"/>
        <v>-187466.50622275958</v>
      </c>
      <c r="BV658" s="149">
        <f t="shared" si="272"/>
        <v>-191525.7944930013</v>
      </c>
      <c r="BW658" s="149">
        <f t="shared" si="272"/>
        <v>-195689.50696050565</v>
      </c>
      <c r="BX658" s="149">
        <f t="shared" si="272"/>
        <v>-199943.73726952542</v>
      </c>
      <c r="BY658" s="149">
        <f t="shared" si="272"/>
        <v>-204290.45325037959</v>
      </c>
      <c r="BZ658" s="149">
        <f t="shared" si="272"/>
        <v>-208731.66551341914</v>
      </c>
      <c r="CA658" s="149">
        <f t="shared" si="272"/>
        <v>-213269.42837905194</v>
      </c>
      <c r="CB658" s="149">
        <f t="shared" si="272"/>
        <v>0</v>
      </c>
      <c r="CC658" s="149">
        <f t="shared" si="272"/>
        <v>0</v>
      </c>
      <c r="CD658" s="149">
        <f t="shared" si="272"/>
        <v>0</v>
      </c>
      <c r="CE658" s="149">
        <f t="shared" si="272"/>
        <v>0</v>
      </c>
      <c r="CF658" s="149">
        <f t="shared" si="272"/>
        <v>0</v>
      </c>
      <c r="CG658" s="149">
        <f t="shared" si="272"/>
        <v>0</v>
      </c>
      <c r="CH658" s="149">
        <f t="shared" si="272"/>
        <v>0</v>
      </c>
      <c r="CI658" s="149">
        <f t="shared" si="272"/>
        <v>0</v>
      </c>
      <c r="CJ658" s="149">
        <f t="shared" si="272"/>
        <v>0</v>
      </c>
      <c r="CK658" s="149">
        <f t="shared" si="272"/>
        <v>0</v>
      </c>
      <c r="CL658" s="149">
        <f t="shared" si="272"/>
        <v>0</v>
      </c>
      <c r="CM658" s="149">
        <f t="shared" si="272"/>
        <v>0</v>
      </c>
      <c r="CN658" s="149">
        <f t="shared" si="272"/>
        <v>0</v>
      </c>
      <c r="CO658" s="149">
        <f t="shared" si="272"/>
        <v>0</v>
      </c>
      <c r="CP658" s="149">
        <f t="shared" si="272"/>
        <v>0</v>
      </c>
      <c r="CQ658" s="14" t="s">
        <v>475</v>
      </c>
    </row>
    <row r="659" spans="1:95" ht="15" hidden="1" outlineLevel="2" x14ac:dyDescent="0.25">
      <c r="A659" s="131"/>
      <c r="B659" s="131"/>
      <c r="C659" s="131"/>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L659" s="149"/>
      <c r="AM659" s="149"/>
      <c r="AN659" s="149"/>
      <c r="AO659" s="149"/>
      <c r="AP659" s="149"/>
      <c r="AQ659" s="149"/>
      <c r="AR659" s="149"/>
      <c r="AS659" s="149"/>
      <c r="AT659" s="149"/>
      <c r="AU659" s="149"/>
      <c r="AV659" s="149"/>
      <c r="AW659" s="149"/>
      <c r="AX659" s="149"/>
      <c r="AY659" s="149"/>
      <c r="AZ659" s="149"/>
      <c r="BA659" s="149"/>
      <c r="BB659" s="149"/>
      <c r="BC659" s="149"/>
      <c r="BD659" s="149"/>
      <c r="BE659" s="149"/>
      <c r="BF659" s="149"/>
      <c r="BG659" s="149"/>
      <c r="BH659" s="149"/>
      <c r="BI659" s="149"/>
      <c r="BJ659" s="149"/>
      <c r="BK659" s="149"/>
      <c r="BL659" s="149"/>
      <c r="BM659" s="149"/>
      <c r="BN659" s="149"/>
      <c r="BO659" s="149"/>
      <c r="BP659" s="149"/>
      <c r="BQ659" s="149"/>
      <c r="BR659" s="149"/>
      <c r="BS659" s="149"/>
      <c r="BT659" s="149"/>
      <c r="BU659" s="149"/>
      <c r="BV659" s="149"/>
      <c r="BW659" s="149"/>
      <c r="BX659" s="149"/>
      <c r="BY659" s="149"/>
      <c r="BZ659" s="149"/>
      <c r="CA659" s="149"/>
      <c r="CB659" s="149"/>
      <c r="CC659" s="149"/>
      <c r="CD659" s="149"/>
      <c r="CE659" s="149"/>
      <c r="CF659" s="149"/>
      <c r="CG659" s="149"/>
      <c r="CH659" s="149"/>
      <c r="CI659" s="149"/>
      <c r="CJ659" s="149"/>
      <c r="CK659" s="149"/>
      <c r="CL659" s="149"/>
      <c r="CM659" s="149"/>
      <c r="CN659" s="149"/>
      <c r="CO659" s="149"/>
      <c r="CP659" s="149"/>
      <c r="CQ659" s="14"/>
    </row>
    <row r="660" spans="1:95" s="5" customFormat="1" ht="15.75" hidden="1" outlineLevel="1" collapsed="1" x14ac:dyDescent="0.25">
      <c r="B660" s="5" t="s">
        <v>617</v>
      </c>
    </row>
    <row r="661" spans="1:95" ht="15" hidden="1" outlineLevel="1" x14ac:dyDescent="0.25">
      <c r="A661" s="131"/>
      <c r="B661" s="131"/>
      <c r="C661" s="131"/>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c r="BM661" s="149"/>
      <c r="BN661" s="149"/>
      <c r="BO661" s="149"/>
      <c r="BP661" s="149"/>
      <c r="BQ661" s="149"/>
      <c r="BR661" s="149"/>
      <c r="BS661" s="149"/>
      <c r="BT661" s="149"/>
      <c r="BU661" s="149"/>
      <c r="BV661" s="149"/>
      <c r="BW661" s="149"/>
      <c r="BX661" s="149"/>
      <c r="BY661" s="149"/>
      <c r="BZ661" s="149"/>
      <c r="CA661" s="149"/>
      <c r="CB661" s="149"/>
      <c r="CC661" s="149"/>
      <c r="CD661" s="149"/>
      <c r="CE661" s="149"/>
      <c r="CF661" s="149"/>
      <c r="CG661" s="149"/>
      <c r="CH661" s="149"/>
      <c r="CI661" s="149"/>
      <c r="CJ661" s="149"/>
      <c r="CK661" s="149"/>
      <c r="CL661" s="149"/>
      <c r="CM661" s="149"/>
      <c r="CN661" s="149"/>
      <c r="CO661" s="149"/>
      <c r="CP661" s="149"/>
      <c r="CQ661" s="14"/>
    </row>
    <row r="662" spans="1:95" ht="15" hidden="1" outlineLevel="1" x14ac:dyDescent="0.25">
      <c r="A662" s="131"/>
      <c r="B662" s="131" t="s">
        <v>11</v>
      </c>
      <c r="C662" s="16">
        <f>Default_HH_size_in</f>
        <v>2.2999999999999998</v>
      </c>
      <c r="D662" s="3" t="s">
        <v>629</v>
      </c>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L662" s="149"/>
      <c r="AM662" s="149"/>
      <c r="AN662" s="149"/>
      <c r="AO662" s="149"/>
      <c r="AP662" s="149"/>
      <c r="AQ662" s="149"/>
      <c r="AR662" s="149"/>
      <c r="AS662" s="149"/>
      <c r="AT662" s="149"/>
      <c r="AU662" s="149"/>
      <c r="AV662" s="149"/>
      <c r="AW662" s="149"/>
      <c r="AX662" s="149"/>
      <c r="AY662" s="149"/>
      <c r="AZ662" s="149"/>
      <c r="BA662" s="149"/>
      <c r="BB662" s="149"/>
      <c r="BC662" s="149"/>
      <c r="BD662" s="149"/>
      <c r="BE662" s="149"/>
      <c r="BF662" s="149"/>
      <c r="BG662" s="149"/>
      <c r="BH662" s="149"/>
      <c r="BI662" s="149"/>
      <c r="BJ662" s="149"/>
      <c r="BK662" s="149"/>
      <c r="BL662" s="149"/>
      <c r="BM662" s="149"/>
      <c r="BN662" s="149"/>
      <c r="BO662" s="149"/>
      <c r="BP662" s="149"/>
      <c r="BQ662" s="149"/>
      <c r="BR662" s="149"/>
      <c r="BS662" s="149"/>
      <c r="BT662" s="149"/>
      <c r="BU662" s="149"/>
      <c r="BV662" s="149"/>
      <c r="BW662" s="149"/>
      <c r="BX662" s="149"/>
      <c r="BY662" s="149"/>
      <c r="BZ662" s="149"/>
      <c r="CA662" s="149"/>
      <c r="CB662" s="149"/>
      <c r="CC662" s="149"/>
      <c r="CD662" s="149"/>
      <c r="CE662" s="149"/>
      <c r="CF662" s="149"/>
      <c r="CG662" s="149"/>
      <c r="CH662" s="149"/>
      <c r="CI662" s="149"/>
      <c r="CJ662" s="149"/>
      <c r="CK662" s="149"/>
      <c r="CL662" s="149"/>
      <c r="CM662" s="149"/>
      <c r="CN662" s="149"/>
      <c r="CO662" s="149"/>
      <c r="CP662" s="149"/>
      <c r="CQ662" s="14"/>
    </row>
    <row r="663" spans="1:95" ht="15" hidden="1" outlineLevel="1" x14ac:dyDescent="0.25">
      <c r="A663" s="131"/>
      <c r="B663" s="131"/>
      <c r="C663" s="131"/>
      <c r="D663" s="16">
        <v>2010</v>
      </c>
      <c r="E663" s="16">
        <v>2011</v>
      </c>
      <c r="F663" s="16">
        <v>2012</v>
      </c>
      <c r="G663" s="16">
        <v>2013</v>
      </c>
      <c r="H663" s="16">
        <v>2014</v>
      </c>
      <c r="I663" s="16">
        <v>2015</v>
      </c>
      <c r="J663" s="16">
        <v>2016</v>
      </c>
      <c r="K663" s="16">
        <v>2017</v>
      </c>
      <c r="L663" s="16">
        <v>2018</v>
      </c>
      <c r="M663" s="16">
        <v>2019</v>
      </c>
      <c r="N663" s="16">
        <v>2020</v>
      </c>
      <c r="O663" s="16">
        <v>2021</v>
      </c>
      <c r="P663" s="16">
        <v>2022</v>
      </c>
      <c r="Q663" s="16">
        <v>2023</v>
      </c>
      <c r="R663" s="16">
        <v>2024</v>
      </c>
      <c r="S663" s="16">
        <v>2025</v>
      </c>
      <c r="T663" s="16">
        <v>2026</v>
      </c>
      <c r="U663" s="16">
        <v>2027</v>
      </c>
      <c r="V663" s="16">
        <v>2028</v>
      </c>
      <c r="W663" s="16">
        <v>2029</v>
      </c>
      <c r="X663" s="16">
        <v>2030</v>
      </c>
      <c r="Y663" s="16">
        <v>2031</v>
      </c>
      <c r="Z663" s="16">
        <v>2032</v>
      </c>
      <c r="AA663" s="16">
        <v>2033</v>
      </c>
      <c r="AB663" s="16">
        <v>2034</v>
      </c>
      <c r="AC663" s="16">
        <v>2035</v>
      </c>
      <c r="AD663" s="16">
        <v>2036</v>
      </c>
      <c r="AE663" s="16">
        <v>2037</v>
      </c>
      <c r="AF663" s="16">
        <v>2038</v>
      </c>
      <c r="AG663" s="16">
        <v>2039</v>
      </c>
      <c r="AH663" s="16">
        <v>2040</v>
      </c>
      <c r="AI663" s="16">
        <v>2041</v>
      </c>
      <c r="AJ663" s="16">
        <v>2042</v>
      </c>
      <c r="AK663" s="16">
        <v>2043</v>
      </c>
      <c r="AL663" s="16">
        <v>2044</v>
      </c>
      <c r="AM663" s="16">
        <v>2045</v>
      </c>
      <c r="AN663" s="16">
        <v>2046</v>
      </c>
      <c r="AO663" s="16">
        <v>2047</v>
      </c>
      <c r="AP663" s="16">
        <v>2048</v>
      </c>
      <c r="AQ663" s="16">
        <v>2049</v>
      </c>
      <c r="AR663" s="16">
        <v>2050</v>
      </c>
      <c r="AS663" s="16">
        <v>2051</v>
      </c>
      <c r="AT663" s="16">
        <v>2052</v>
      </c>
      <c r="AU663" s="16">
        <v>2053</v>
      </c>
      <c r="AV663" s="16">
        <v>2054</v>
      </c>
      <c r="AW663" s="16">
        <v>2055</v>
      </c>
      <c r="AX663" s="16">
        <v>2056</v>
      </c>
      <c r="AY663" s="16">
        <v>2057</v>
      </c>
      <c r="AZ663" s="16">
        <v>2058</v>
      </c>
      <c r="BA663" s="16">
        <v>2059</v>
      </c>
      <c r="BB663" s="16">
        <v>2060</v>
      </c>
      <c r="BC663" s="16">
        <v>2061</v>
      </c>
      <c r="BD663" s="16">
        <v>2062</v>
      </c>
      <c r="BE663" s="16">
        <v>2063</v>
      </c>
      <c r="BF663" s="16">
        <v>2064</v>
      </c>
      <c r="BG663" s="16">
        <v>2065</v>
      </c>
      <c r="BH663" s="16">
        <v>2066</v>
      </c>
      <c r="BI663" s="16">
        <v>2067</v>
      </c>
      <c r="BJ663" s="16">
        <v>2068</v>
      </c>
      <c r="BK663" s="16">
        <v>2069</v>
      </c>
      <c r="BL663" s="16">
        <v>2070</v>
      </c>
      <c r="BM663" s="16">
        <v>2071</v>
      </c>
      <c r="BN663" s="16">
        <v>2072</v>
      </c>
      <c r="BO663" s="16">
        <v>2073</v>
      </c>
      <c r="BP663" s="16">
        <v>2074</v>
      </c>
      <c r="BQ663" s="16">
        <v>2075</v>
      </c>
      <c r="BR663" s="16">
        <v>2076</v>
      </c>
      <c r="BS663" s="16">
        <v>2077</v>
      </c>
      <c r="BT663" s="16">
        <v>2078</v>
      </c>
      <c r="BU663" s="16">
        <v>2079</v>
      </c>
      <c r="BV663" s="16">
        <v>2080</v>
      </c>
      <c r="BW663" s="16">
        <v>2081</v>
      </c>
      <c r="BX663" s="16">
        <v>2082</v>
      </c>
      <c r="BY663" s="16">
        <v>2083</v>
      </c>
      <c r="BZ663" s="16">
        <v>2084</v>
      </c>
      <c r="CA663" s="16">
        <v>2085</v>
      </c>
      <c r="CB663" s="16">
        <v>2086</v>
      </c>
      <c r="CC663" s="16">
        <v>2087</v>
      </c>
      <c r="CD663" s="16">
        <v>2088</v>
      </c>
      <c r="CE663" s="16">
        <v>2089</v>
      </c>
      <c r="CF663" s="16">
        <v>2090</v>
      </c>
      <c r="CG663" s="16">
        <v>2091</v>
      </c>
      <c r="CH663" s="16">
        <v>2092</v>
      </c>
      <c r="CI663" s="16">
        <v>2093</v>
      </c>
      <c r="CJ663" s="16">
        <v>2094</v>
      </c>
      <c r="CK663" s="16">
        <v>2095</v>
      </c>
      <c r="CL663" s="16">
        <v>2096</v>
      </c>
      <c r="CM663" s="16">
        <v>2097</v>
      </c>
      <c r="CN663" s="16">
        <v>2098</v>
      </c>
      <c r="CO663" s="16">
        <v>2099</v>
      </c>
      <c r="CP663" s="16">
        <v>2100</v>
      </c>
      <c r="CQ663" s="14"/>
    </row>
    <row r="664" spans="1:95" ht="15" hidden="1" outlineLevel="1" x14ac:dyDescent="0.25">
      <c r="A664" s="131"/>
      <c r="B664" s="131" t="s">
        <v>615</v>
      </c>
      <c r="C664" s="131"/>
      <c r="D664" s="159">
        <f t="shared" ref="D664:AI664" si="273">Household_size_user_input_in</f>
        <v>2.2999999999999998</v>
      </c>
      <c r="E664" s="159">
        <f t="shared" si="273"/>
        <v>2.2999999999999998</v>
      </c>
      <c r="F664" s="159">
        <f t="shared" si="273"/>
        <v>2.2999999999999998</v>
      </c>
      <c r="G664" s="159">
        <f t="shared" si="273"/>
        <v>2.2999999999999998</v>
      </c>
      <c r="H664" s="159">
        <f t="shared" si="273"/>
        <v>2.2999999999999998</v>
      </c>
      <c r="I664" s="159">
        <f t="shared" si="273"/>
        <v>2.2999999999999998</v>
      </c>
      <c r="J664" s="159">
        <f t="shared" si="273"/>
        <v>2.2999999999999998</v>
      </c>
      <c r="K664" s="159">
        <f t="shared" si="273"/>
        <v>2.2999999999999998</v>
      </c>
      <c r="L664" s="159">
        <f t="shared" si="273"/>
        <v>2.2999999999999998</v>
      </c>
      <c r="M664" s="159">
        <f t="shared" si="273"/>
        <v>2.2999999999999998</v>
      </c>
      <c r="N664" s="159">
        <f t="shared" si="273"/>
        <v>2.2999999999999998</v>
      </c>
      <c r="O664" s="159">
        <f t="shared" si="273"/>
        <v>2.2999999999999998</v>
      </c>
      <c r="P664" s="159">
        <f t="shared" si="273"/>
        <v>2.2999999999999998</v>
      </c>
      <c r="Q664" s="159">
        <f t="shared" si="273"/>
        <v>2.2999999999999998</v>
      </c>
      <c r="R664" s="159">
        <f t="shared" si="273"/>
        <v>2.2999999999999998</v>
      </c>
      <c r="S664" s="159">
        <f t="shared" si="273"/>
        <v>2.2999999999999998</v>
      </c>
      <c r="T664" s="159">
        <f t="shared" si="273"/>
        <v>2.2999999999999998</v>
      </c>
      <c r="U664" s="159">
        <f t="shared" si="273"/>
        <v>2.2999999999999998</v>
      </c>
      <c r="V664" s="159">
        <f t="shared" si="273"/>
        <v>2.2999999999999998</v>
      </c>
      <c r="W664" s="159">
        <f t="shared" si="273"/>
        <v>2.2999999999999998</v>
      </c>
      <c r="X664" s="159">
        <f t="shared" si="273"/>
        <v>2.2999999999999998</v>
      </c>
      <c r="Y664" s="159">
        <f t="shared" si="273"/>
        <v>2.2999999999999998</v>
      </c>
      <c r="Z664" s="159">
        <f t="shared" si="273"/>
        <v>2.2999999999999998</v>
      </c>
      <c r="AA664" s="159">
        <f t="shared" si="273"/>
        <v>2.2999999999999998</v>
      </c>
      <c r="AB664" s="159">
        <f t="shared" si="273"/>
        <v>2.2999999999999998</v>
      </c>
      <c r="AC664" s="159">
        <f t="shared" si="273"/>
        <v>2.2999999999999998</v>
      </c>
      <c r="AD664" s="159">
        <f t="shared" si="273"/>
        <v>2.2999999999999998</v>
      </c>
      <c r="AE664" s="159">
        <f t="shared" si="273"/>
        <v>2.2999999999999998</v>
      </c>
      <c r="AF664" s="159">
        <f t="shared" si="273"/>
        <v>2.2999999999999998</v>
      </c>
      <c r="AG664" s="159">
        <f t="shared" si="273"/>
        <v>2.2999999999999998</v>
      </c>
      <c r="AH664" s="159">
        <f t="shared" si="273"/>
        <v>2.2999999999999998</v>
      </c>
      <c r="AI664" s="159">
        <f t="shared" si="273"/>
        <v>2.2999999999999998</v>
      </c>
      <c r="AJ664" s="159">
        <f t="shared" ref="AJ664:BO664" si="274">Household_size_user_input_in</f>
        <v>2.2999999999999998</v>
      </c>
      <c r="AK664" s="159">
        <f t="shared" si="274"/>
        <v>2.2999999999999998</v>
      </c>
      <c r="AL664" s="159">
        <f t="shared" si="274"/>
        <v>2.2999999999999998</v>
      </c>
      <c r="AM664" s="159">
        <f t="shared" si="274"/>
        <v>2.2999999999999998</v>
      </c>
      <c r="AN664" s="159">
        <f t="shared" si="274"/>
        <v>2.2999999999999998</v>
      </c>
      <c r="AO664" s="159">
        <f t="shared" si="274"/>
        <v>2.2999999999999998</v>
      </c>
      <c r="AP664" s="159">
        <f t="shared" si="274"/>
        <v>2.2999999999999998</v>
      </c>
      <c r="AQ664" s="159">
        <f t="shared" si="274"/>
        <v>2.2999999999999998</v>
      </c>
      <c r="AR664" s="159">
        <f t="shared" si="274"/>
        <v>2.2999999999999998</v>
      </c>
      <c r="AS664" s="159">
        <f t="shared" si="274"/>
        <v>2.2999999999999998</v>
      </c>
      <c r="AT664" s="159">
        <f t="shared" si="274"/>
        <v>2.2999999999999998</v>
      </c>
      <c r="AU664" s="159">
        <f t="shared" si="274"/>
        <v>2.2999999999999998</v>
      </c>
      <c r="AV664" s="159">
        <f t="shared" si="274"/>
        <v>2.2999999999999998</v>
      </c>
      <c r="AW664" s="159">
        <f t="shared" si="274"/>
        <v>2.2999999999999998</v>
      </c>
      <c r="AX664" s="159">
        <f t="shared" si="274"/>
        <v>2.2999999999999998</v>
      </c>
      <c r="AY664" s="159">
        <f t="shared" si="274"/>
        <v>2.2999999999999998</v>
      </c>
      <c r="AZ664" s="159">
        <f t="shared" si="274"/>
        <v>2.2999999999999998</v>
      </c>
      <c r="BA664" s="159">
        <f t="shared" si="274"/>
        <v>2.2999999999999998</v>
      </c>
      <c r="BB664" s="159">
        <f t="shared" si="274"/>
        <v>2.2999999999999998</v>
      </c>
      <c r="BC664" s="159">
        <f t="shared" si="274"/>
        <v>2.2999999999999998</v>
      </c>
      <c r="BD664" s="159">
        <f t="shared" si="274"/>
        <v>2.2999999999999998</v>
      </c>
      <c r="BE664" s="159">
        <f t="shared" si="274"/>
        <v>2.2999999999999998</v>
      </c>
      <c r="BF664" s="159">
        <f t="shared" si="274"/>
        <v>2.2999999999999998</v>
      </c>
      <c r="BG664" s="159">
        <f t="shared" si="274"/>
        <v>2.2999999999999998</v>
      </c>
      <c r="BH664" s="159">
        <f t="shared" si="274"/>
        <v>2.2999999999999998</v>
      </c>
      <c r="BI664" s="159">
        <f t="shared" si="274"/>
        <v>2.2999999999999998</v>
      </c>
      <c r="BJ664" s="159">
        <f t="shared" si="274"/>
        <v>2.2999999999999998</v>
      </c>
      <c r="BK664" s="159">
        <f t="shared" si="274"/>
        <v>2.2999999999999998</v>
      </c>
      <c r="BL664" s="159">
        <f t="shared" si="274"/>
        <v>2.2999999999999998</v>
      </c>
      <c r="BM664" s="159">
        <f t="shared" si="274"/>
        <v>2.2999999999999998</v>
      </c>
      <c r="BN664" s="159">
        <f t="shared" si="274"/>
        <v>2.2999999999999998</v>
      </c>
      <c r="BO664" s="159">
        <f t="shared" si="274"/>
        <v>2.2999999999999998</v>
      </c>
      <c r="BP664" s="159">
        <f t="shared" ref="BP664:CP664" si="275">Household_size_user_input_in</f>
        <v>2.2999999999999998</v>
      </c>
      <c r="BQ664" s="159">
        <f t="shared" si="275"/>
        <v>2.2999999999999998</v>
      </c>
      <c r="BR664" s="159">
        <f t="shared" si="275"/>
        <v>2.2999999999999998</v>
      </c>
      <c r="BS664" s="159">
        <f t="shared" si="275"/>
        <v>2.2999999999999998</v>
      </c>
      <c r="BT664" s="159">
        <f t="shared" si="275"/>
        <v>2.2999999999999998</v>
      </c>
      <c r="BU664" s="159">
        <f t="shared" si="275"/>
        <v>2.2999999999999998</v>
      </c>
      <c r="BV664" s="159">
        <f t="shared" si="275"/>
        <v>2.2999999999999998</v>
      </c>
      <c r="BW664" s="159">
        <f t="shared" si="275"/>
        <v>2.2999999999999998</v>
      </c>
      <c r="BX664" s="159">
        <f t="shared" si="275"/>
        <v>2.2999999999999998</v>
      </c>
      <c r="BY664" s="159">
        <f t="shared" si="275"/>
        <v>2.2999999999999998</v>
      </c>
      <c r="BZ664" s="159">
        <f t="shared" si="275"/>
        <v>2.2999999999999998</v>
      </c>
      <c r="CA664" s="159">
        <f t="shared" si="275"/>
        <v>2.2999999999999998</v>
      </c>
      <c r="CB664" s="159">
        <f t="shared" si="275"/>
        <v>2.2999999999999998</v>
      </c>
      <c r="CC664" s="159">
        <f t="shared" si="275"/>
        <v>2.2999999999999998</v>
      </c>
      <c r="CD664" s="159">
        <f t="shared" si="275"/>
        <v>2.2999999999999998</v>
      </c>
      <c r="CE664" s="159">
        <f t="shared" si="275"/>
        <v>2.2999999999999998</v>
      </c>
      <c r="CF664" s="159">
        <f t="shared" si="275"/>
        <v>2.2999999999999998</v>
      </c>
      <c r="CG664" s="159">
        <f t="shared" si="275"/>
        <v>2.2999999999999998</v>
      </c>
      <c r="CH664" s="159">
        <f t="shared" si="275"/>
        <v>2.2999999999999998</v>
      </c>
      <c r="CI664" s="159">
        <f t="shared" si="275"/>
        <v>2.2999999999999998</v>
      </c>
      <c r="CJ664" s="159">
        <f t="shared" si="275"/>
        <v>2.2999999999999998</v>
      </c>
      <c r="CK664" s="159">
        <f t="shared" si="275"/>
        <v>2.2999999999999998</v>
      </c>
      <c r="CL664" s="159">
        <f t="shared" si="275"/>
        <v>2.2999999999999998</v>
      </c>
      <c r="CM664" s="159">
        <f t="shared" si="275"/>
        <v>2.2999999999999998</v>
      </c>
      <c r="CN664" s="159">
        <f t="shared" si="275"/>
        <v>2.2999999999999998</v>
      </c>
      <c r="CO664" s="159">
        <f t="shared" si="275"/>
        <v>2.2999999999999998</v>
      </c>
      <c r="CP664" s="159">
        <f t="shared" si="275"/>
        <v>2.2999999999999998</v>
      </c>
      <c r="CQ664" s="33" t="s">
        <v>618</v>
      </c>
    </row>
    <row r="665" spans="1:95" ht="15" hidden="1" outlineLevel="1" x14ac:dyDescent="0.25">
      <c r="A665" s="131"/>
      <c r="B665" s="131" t="s">
        <v>619</v>
      </c>
      <c r="C665" s="131"/>
      <c r="D665" s="159">
        <f t="shared" ref="D665:AI665" si="276">Household_size_user_input/Default_HH_size</f>
        <v>1</v>
      </c>
      <c r="E665" s="159">
        <f t="shared" si="276"/>
        <v>1</v>
      </c>
      <c r="F665" s="159">
        <f t="shared" si="276"/>
        <v>1</v>
      </c>
      <c r="G665" s="159">
        <f t="shared" si="276"/>
        <v>1</v>
      </c>
      <c r="H665" s="159">
        <f t="shared" si="276"/>
        <v>1</v>
      </c>
      <c r="I665" s="159">
        <f t="shared" si="276"/>
        <v>1</v>
      </c>
      <c r="J665" s="159">
        <f t="shared" si="276"/>
        <v>1</v>
      </c>
      <c r="K665" s="159">
        <f t="shared" si="276"/>
        <v>1</v>
      </c>
      <c r="L665" s="159">
        <f t="shared" si="276"/>
        <v>1</v>
      </c>
      <c r="M665" s="159">
        <f t="shared" si="276"/>
        <v>1</v>
      </c>
      <c r="N665" s="159">
        <f t="shared" si="276"/>
        <v>1</v>
      </c>
      <c r="O665" s="159">
        <f t="shared" si="276"/>
        <v>1</v>
      </c>
      <c r="P665" s="159">
        <f t="shared" si="276"/>
        <v>1</v>
      </c>
      <c r="Q665" s="159">
        <f t="shared" si="276"/>
        <v>1</v>
      </c>
      <c r="R665" s="159">
        <f t="shared" si="276"/>
        <v>1</v>
      </c>
      <c r="S665" s="159">
        <f t="shared" si="276"/>
        <v>1</v>
      </c>
      <c r="T665" s="159">
        <f t="shared" si="276"/>
        <v>1</v>
      </c>
      <c r="U665" s="159">
        <f t="shared" si="276"/>
        <v>1</v>
      </c>
      <c r="V665" s="159">
        <f t="shared" si="276"/>
        <v>1</v>
      </c>
      <c r="W665" s="159">
        <f t="shared" si="276"/>
        <v>1</v>
      </c>
      <c r="X665" s="159">
        <f t="shared" si="276"/>
        <v>1</v>
      </c>
      <c r="Y665" s="159">
        <f t="shared" si="276"/>
        <v>1</v>
      </c>
      <c r="Z665" s="159">
        <f t="shared" si="276"/>
        <v>1</v>
      </c>
      <c r="AA665" s="159">
        <f t="shared" si="276"/>
        <v>1</v>
      </c>
      <c r="AB665" s="159">
        <f t="shared" si="276"/>
        <v>1</v>
      </c>
      <c r="AC665" s="159">
        <f t="shared" si="276"/>
        <v>1</v>
      </c>
      <c r="AD665" s="159">
        <f t="shared" si="276"/>
        <v>1</v>
      </c>
      <c r="AE665" s="159">
        <f t="shared" si="276"/>
        <v>1</v>
      </c>
      <c r="AF665" s="159">
        <f t="shared" si="276"/>
        <v>1</v>
      </c>
      <c r="AG665" s="159">
        <f t="shared" si="276"/>
        <v>1</v>
      </c>
      <c r="AH665" s="159">
        <f t="shared" si="276"/>
        <v>1</v>
      </c>
      <c r="AI665" s="159">
        <f t="shared" si="276"/>
        <v>1</v>
      </c>
      <c r="AJ665" s="159">
        <f t="shared" ref="AJ665:BO665" si="277">Household_size_user_input/Default_HH_size</f>
        <v>1</v>
      </c>
      <c r="AK665" s="159">
        <f t="shared" si="277"/>
        <v>1</v>
      </c>
      <c r="AL665" s="159">
        <f t="shared" si="277"/>
        <v>1</v>
      </c>
      <c r="AM665" s="159">
        <f t="shared" si="277"/>
        <v>1</v>
      </c>
      <c r="AN665" s="159">
        <f t="shared" si="277"/>
        <v>1</v>
      </c>
      <c r="AO665" s="159">
        <f t="shared" si="277"/>
        <v>1</v>
      </c>
      <c r="AP665" s="159">
        <f t="shared" si="277"/>
        <v>1</v>
      </c>
      <c r="AQ665" s="159">
        <f t="shared" si="277"/>
        <v>1</v>
      </c>
      <c r="AR665" s="159">
        <f t="shared" si="277"/>
        <v>1</v>
      </c>
      <c r="AS665" s="159">
        <f t="shared" si="277"/>
        <v>1</v>
      </c>
      <c r="AT665" s="159">
        <f t="shared" si="277"/>
        <v>1</v>
      </c>
      <c r="AU665" s="159">
        <f t="shared" si="277"/>
        <v>1</v>
      </c>
      <c r="AV665" s="159">
        <f t="shared" si="277"/>
        <v>1</v>
      </c>
      <c r="AW665" s="159">
        <f t="shared" si="277"/>
        <v>1</v>
      </c>
      <c r="AX665" s="159">
        <f t="shared" si="277"/>
        <v>1</v>
      </c>
      <c r="AY665" s="159">
        <f t="shared" si="277"/>
        <v>1</v>
      </c>
      <c r="AZ665" s="159">
        <f t="shared" si="277"/>
        <v>1</v>
      </c>
      <c r="BA665" s="159">
        <f t="shared" si="277"/>
        <v>1</v>
      </c>
      <c r="BB665" s="159">
        <f t="shared" si="277"/>
        <v>1</v>
      </c>
      <c r="BC665" s="159">
        <f t="shared" si="277"/>
        <v>1</v>
      </c>
      <c r="BD665" s="159">
        <f t="shared" si="277"/>
        <v>1</v>
      </c>
      <c r="BE665" s="159">
        <f t="shared" si="277"/>
        <v>1</v>
      </c>
      <c r="BF665" s="159">
        <f t="shared" si="277"/>
        <v>1</v>
      </c>
      <c r="BG665" s="159">
        <f t="shared" si="277"/>
        <v>1</v>
      </c>
      <c r="BH665" s="159">
        <f t="shared" si="277"/>
        <v>1</v>
      </c>
      <c r="BI665" s="159">
        <f t="shared" si="277"/>
        <v>1</v>
      </c>
      <c r="BJ665" s="159">
        <f t="shared" si="277"/>
        <v>1</v>
      </c>
      <c r="BK665" s="159">
        <f t="shared" si="277"/>
        <v>1</v>
      </c>
      <c r="BL665" s="159">
        <f t="shared" si="277"/>
        <v>1</v>
      </c>
      <c r="BM665" s="159">
        <f t="shared" si="277"/>
        <v>1</v>
      </c>
      <c r="BN665" s="159">
        <f t="shared" si="277"/>
        <v>1</v>
      </c>
      <c r="BO665" s="159">
        <f t="shared" si="277"/>
        <v>1</v>
      </c>
      <c r="BP665" s="159">
        <f t="shared" ref="BP665:CP665" si="278">Household_size_user_input/Default_HH_size</f>
        <v>1</v>
      </c>
      <c r="BQ665" s="159">
        <f t="shared" si="278"/>
        <v>1</v>
      </c>
      <c r="BR665" s="159">
        <f t="shared" si="278"/>
        <v>1</v>
      </c>
      <c r="BS665" s="159">
        <f t="shared" si="278"/>
        <v>1</v>
      </c>
      <c r="BT665" s="159">
        <f t="shared" si="278"/>
        <v>1</v>
      </c>
      <c r="BU665" s="159">
        <f t="shared" si="278"/>
        <v>1</v>
      </c>
      <c r="BV665" s="159">
        <f t="shared" si="278"/>
        <v>1</v>
      </c>
      <c r="BW665" s="159">
        <f t="shared" si="278"/>
        <v>1</v>
      </c>
      <c r="BX665" s="159">
        <f t="shared" si="278"/>
        <v>1</v>
      </c>
      <c r="BY665" s="159">
        <f t="shared" si="278"/>
        <v>1</v>
      </c>
      <c r="BZ665" s="159">
        <f t="shared" si="278"/>
        <v>1</v>
      </c>
      <c r="CA665" s="159">
        <f t="shared" si="278"/>
        <v>1</v>
      </c>
      <c r="CB665" s="159">
        <f t="shared" si="278"/>
        <v>1</v>
      </c>
      <c r="CC665" s="159">
        <f t="shared" si="278"/>
        <v>1</v>
      </c>
      <c r="CD665" s="159">
        <f t="shared" si="278"/>
        <v>1</v>
      </c>
      <c r="CE665" s="159">
        <f t="shared" si="278"/>
        <v>1</v>
      </c>
      <c r="CF665" s="159">
        <f t="shared" si="278"/>
        <v>1</v>
      </c>
      <c r="CG665" s="159">
        <f t="shared" si="278"/>
        <v>1</v>
      </c>
      <c r="CH665" s="159">
        <f t="shared" si="278"/>
        <v>1</v>
      </c>
      <c r="CI665" s="159">
        <f t="shared" si="278"/>
        <v>1</v>
      </c>
      <c r="CJ665" s="159">
        <f t="shared" si="278"/>
        <v>1</v>
      </c>
      <c r="CK665" s="159">
        <f t="shared" si="278"/>
        <v>1</v>
      </c>
      <c r="CL665" s="159">
        <f t="shared" si="278"/>
        <v>1</v>
      </c>
      <c r="CM665" s="159">
        <f t="shared" si="278"/>
        <v>1</v>
      </c>
      <c r="CN665" s="159">
        <f t="shared" si="278"/>
        <v>1</v>
      </c>
      <c r="CO665" s="159">
        <f t="shared" si="278"/>
        <v>1</v>
      </c>
      <c r="CP665" s="159">
        <f t="shared" si="278"/>
        <v>1</v>
      </c>
      <c r="CQ665" s="14" t="s">
        <v>620</v>
      </c>
    </row>
    <row r="666" spans="1:95" ht="15" hidden="1" outlineLevel="1" x14ac:dyDescent="0.25">
      <c r="A666" s="131"/>
      <c r="B666" s="131"/>
      <c r="C666" s="131"/>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L666" s="149"/>
      <c r="AM666" s="149"/>
      <c r="AN666" s="149"/>
      <c r="AO666" s="149"/>
      <c r="AP666" s="149"/>
      <c r="AQ666" s="149"/>
      <c r="AR666" s="149"/>
      <c r="AS666" s="149"/>
      <c r="AT666" s="149"/>
      <c r="AU666" s="149"/>
      <c r="AV666" s="149"/>
      <c r="AW666" s="149"/>
      <c r="AX666" s="149"/>
      <c r="AY666" s="149"/>
      <c r="AZ666" s="149"/>
      <c r="BA666" s="149"/>
      <c r="BB666" s="149"/>
      <c r="BC666" s="149"/>
      <c r="BD666" s="149"/>
      <c r="BE666" s="149"/>
      <c r="BF666" s="149"/>
      <c r="BG666" s="149"/>
      <c r="BH666" s="149"/>
      <c r="BI666" s="149"/>
      <c r="BJ666" s="149"/>
      <c r="BK666" s="149"/>
      <c r="BL666" s="149"/>
      <c r="BM666" s="149"/>
      <c r="BN666" s="149"/>
      <c r="BO666" s="149"/>
      <c r="BP666" s="149"/>
      <c r="BQ666" s="149"/>
      <c r="BR666" s="149"/>
      <c r="BS666" s="149"/>
      <c r="BT666" s="149"/>
      <c r="BU666" s="149"/>
      <c r="BV666" s="149"/>
      <c r="BW666" s="149"/>
      <c r="BX666" s="149"/>
      <c r="BY666" s="149"/>
      <c r="BZ666" s="149"/>
      <c r="CA666" s="149"/>
      <c r="CB666" s="149"/>
      <c r="CC666" s="149"/>
      <c r="CD666" s="149"/>
      <c r="CE666" s="149"/>
      <c r="CF666" s="149"/>
      <c r="CG666" s="149"/>
      <c r="CH666" s="149"/>
      <c r="CI666" s="149"/>
      <c r="CJ666" s="149"/>
      <c r="CK666" s="149"/>
      <c r="CL666" s="149"/>
      <c r="CM666" s="149"/>
      <c r="CN666" s="149"/>
      <c r="CO666" s="149"/>
      <c r="CP666" s="149"/>
      <c r="CQ666" s="14"/>
    </row>
    <row r="667" spans="1:95" ht="15" hidden="1" outlineLevel="1" x14ac:dyDescent="0.25">
      <c r="A667" s="131"/>
      <c r="B667" s="131"/>
      <c r="C667" s="131"/>
      <c r="D667" s="16">
        <v>2010</v>
      </c>
      <c r="E667" s="16">
        <v>2011</v>
      </c>
      <c r="F667" s="16">
        <v>2012</v>
      </c>
      <c r="G667" s="16">
        <v>2013</v>
      </c>
      <c r="H667" s="16">
        <v>2014</v>
      </c>
      <c r="I667" s="16">
        <v>2015</v>
      </c>
      <c r="J667" s="16">
        <v>2016</v>
      </c>
      <c r="K667" s="16">
        <v>2017</v>
      </c>
      <c r="L667" s="16">
        <v>2018</v>
      </c>
      <c r="M667" s="16">
        <v>2019</v>
      </c>
      <c r="N667" s="16">
        <v>2020</v>
      </c>
      <c r="O667" s="16">
        <v>2021</v>
      </c>
      <c r="P667" s="16">
        <v>2022</v>
      </c>
      <c r="Q667" s="16">
        <v>2023</v>
      </c>
      <c r="R667" s="16">
        <v>2024</v>
      </c>
      <c r="S667" s="16">
        <v>2025</v>
      </c>
      <c r="T667" s="16">
        <v>2026</v>
      </c>
      <c r="U667" s="16">
        <v>2027</v>
      </c>
      <c r="V667" s="16">
        <v>2028</v>
      </c>
      <c r="W667" s="16">
        <v>2029</v>
      </c>
      <c r="X667" s="16">
        <v>2030</v>
      </c>
      <c r="Y667" s="16">
        <v>2031</v>
      </c>
      <c r="Z667" s="16">
        <v>2032</v>
      </c>
      <c r="AA667" s="16">
        <v>2033</v>
      </c>
      <c r="AB667" s="16">
        <v>2034</v>
      </c>
      <c r="AC667" s="16">
        <v>2035</v>
      </c>
      <c r="AD667" s="16">
        <v>2036</v>
      </c>
      <c r="AE667" s="16">
        <v>2037</v>
      </c>
      <c r="AF667" s="16">
        <v>2038</v>
      </c>
      <c r="AG667" s="16">
        <v>2039</v>
      </c>
      <c r="AH667" s="16">
        <v>2040</v>
      </c>
      <c r="AI667" s="16">
        <v>2041</v>
      </c>
      <c r="AJ667" s="16">
        <v>2042</v>
      </c>
      <c r="AK667" s="16">
        <v>2043</v>
      </c>
      <c r="AL667" s="16">
        <v>2044</v>
      </c>
      <c r="AM667" s="16">
        <v>2045</v>
      </c>
      <c r="AN667" s="16">
        <v>2046</v>
      </c>
      <c r="AO667" s="16">
        <v>2047</v>
      </c>
      <c r="AP667" s="16">
        <v>2048</v>
      </c>
      <c r="AQ667" s="16">
        <v>2049</v>
      </c>
      <c r="AR667" s="16">
        <v>2050</v>
      </c>
      <c r="AS667" s="16">
        <v>2051</v>
      </c>
      <c r="AT667" s="16">
        <v>2052</v>
      </c>
      <c r="AU667" s="16">
        <v>2053</v>
      </c>
      <c r="AV667" s="16">
        <v>2054</v>
      </c>
      <c r="AW667" s="16">
        <v>2055</v>
      </c>
      <c r="AX667" s="16">
        <v>2056</v>
      </c>
      <c r="AY667" s="16">
        <v>2057</v>
      </c>
      <c r="AZ667" s="16">
        <v>2058</v>
      </c>
      <c r="BA667" s="16">
        <v>2059</v>
      </c>
      <c r="BB667" s="16">
        <v>2060</v>
      </c>
      <c r="BC667" s="16">
        <v>2061</v>
      </c>
      <c r="BD667" s="16">
        <v>2062</v>
      </c>
      <c r="BE667" s="16">
        <v>2063</v>
      </c>
      <c r="BF667" s="16">
        <v>2064</v>
      </c>
      <c r="BG667" s="16">
        <v>2065</v>
      </c>
      <c r="BH667" s="16">
        <v>2066</v>
      </c>
      <c r="BI667" s="16">
        <v>2067</v>
      </c>
      <c r="BJ667" s="16">
        <v>2068</v>
      </c>
      <c r="BK667" s="16">
        <v>2069</v>
      </c>
      <c r="BL667" s="16">
        <v>2070</v>
      </c>
      <c r="BM667" s="16">
        <v>2071</v>
      </c>
      <c r="BN667" s="16">
        <v>2072</v>
      </c>
      <c r="BO667" s="16">
        <v>2073</v>
      </c>
      <c r="BP667" s="16">
        <v>2074</v>
      </c>
      <c r="BQ667" s="16">
        <v>2075</v>
      </c>
      <c r="BR667" s="16">
        <v>2076</v>
      </c>
      <c r="BS667" s="16">
        <v>2077</v>
      </c>
      <c r="BT667" s="16">
        <v>2078</v>
      </c>
      <c r="BU667" s="16">
        <v>2079</v>
      </c>
      <c r="BV667" s="16">
        <v>2080</v>
      </c>
      <c r="BW667" s="16">
        <v>2081</v>
      </c>
      <c r="BX667" s="16">
        <v>2082</v>
      </c>
      <c r="BY667" s="16">
        <v>2083</v>
      </c>
      <c r="BZ667" s="16">
        <v>2084</v>
      </c>
      <c r="CA667" s="16">
        <v>2085</v>
      </c>
      <c r="CB667" s="16">
        <v>2086</v>
      </c>
      <c r="CC667" s="16">
        <v>2087</v>
      </c>
      <c r="CD667" s="16">
        <v>2088</v>
      </c>
      <c r="CE667" s="16">
        <v>2089</v>
      </c>
      <c r="CF667" s="16">
        <v>2090</v>
      </c>
      <c r="CG667" s="16">
        <v>2091</v>
      </c>
      <c r="CH667" s="16">
        <v>2092</v>
      </c>
      <c r="CI667" s="16">
        <v>2093</v>
      </c>
      <c r="CJ667" s="16">
        <v>2094</v>
      </c>
      <c r="CK667" s="16">
        <v>2095</v>
      </c>
      <c r="CL667" s="16">
        <v>2096</v>
      </c>
      <c r="CM667" s="16">
        <v>2097</v>
      </c>
      <c r="CN667" s="16">
        <v>2098</v>
      </c>
      <c r="CO667" s="16">
        <v>2099</v>
      </c>
      <c r="CP667" s="16">
        <v>2100</v>
      </c>
      <c r="CQ667" s="131"/>
    </row>
    <row r="668" spans="1:95" ht="15" hidden="1" outlineLevel="1" x14ac:dyDescent="0.25">
      <c r="A668" s="131"/>
      <c r="B668" s="131" t="s">
        <v>65</v>
      </c>
      <c r="C668" s="131"/>
      <c r="D668" s="149">
        <f t="shared" ref="D668:AI668" si="279">Annual_sleep_disturbance_valuation*Household_size_multiplier</f>
        <v>0</v>
      </c>
      <c r="E668" s="149">
        <f t="shared" si="279"/>
        <v>0</v>
      </c>
      <c r="F668" s="149">
        <f t="shared" si="279"/>
        <v>0</v>
      </c>
      <c r="G668" s="149">
        <f t="shared" si="279"/>
        <v>0</v>
      </c>
      <c r="H668" s="149">
        <f t="shared" si="279"/>
        <v>0</v>
      </c>
      <c r="I668" s="149">
        <f>Annual_sleep_disturbance_valuation*Household_size_multiplier</f>
        <v>0</v>
      </c>
      <c r="J668" s="149">
        <f t="shared" si="279"/>
        <v>0</v>
      </c>
      <c r="K668" s="149">
        <f t="shared" si="279"/>
        <v>0</v>
      </c>
      <c r="L668" s="149">
        <f t="shared" si="279"/>
        <v>0</v>
      </c>
      <c r="M668" s="149">
        <f t="shared" si="279"/>
        <v>0</v>
      </c>
      <c r="N668" s="149">
        <f t="shared" si="279"/>
        <v>0</v>
      </c>
      <c r="O668" s="149">
        <f t="shared" si="279"/>
        <v>0</v>
      </c>
      <c r="P668" s="149">
        <f t="shared" si="279"/>
        <v>0</v>
      </c>
      <c r="Q668" s="149">
        <f t="shared" si="279"/>
        <v>0</v>
      </c>
      <c r="R668" s="149">
        <f t="shared" si="279"/>
        <v>0</v>
      </c>
      <c r="S668" s="149">
        <f t="shared" si="279"/>
        <v>0</v>
      </c>
      <c r="T668" s="149">
        <f t="shared" si="279"/>
        <v>-300399.81813225412</v>
      </c>
      <c r="U668" s="149">
        <f t="shared" si="279"/>
        <v>-312580.2093564393</v>
      </c>
      <c r="V668" s="149">
        <f t="shared" si="279"/>
        <v>-325175.91105070442</v>
      </c>
      <c r="W668" s="149">
        <f t="shared" si="279"/>
        <v>-338201.58138484153</v>
      </c>
      <c r="X668" s="149">
        <f t="shared" si="279"/>
        <v>-351671.88521034212</v>
      </c>
      <c r="Y668" s="149">
        <f t="shared" si="279"/>
        <v>-365600.89222276438</v>
      </c>
      <c r="Z668" s="149">
        <f t="shared" si="279"/>
        <v>-380001.8358784343</v>
      </c>
      <c r="AA668" s="149">
        <f t="shared" si="279"/>
        <v>-394886.4138589222</v>
      </c>
      <c r="AB668" s="149">
        <f t="shared" si="279"/>
        <v>-410666.10450521583</v>
      </c>
      <c r="AC668" s="149">
        <f t="shared" si="279"/>
        <v>-426566.73354257364</v>
      </c>
      <c r="AD668" s="149">
        <f t="shared" si="279"/>
        <v>-442983.93379529956</v>
      </c>
      <c r="AE668" s="149">
        <f t="shared" si="279"/>
        <v>-452252.81204811222</v>
      </c>
      <c r="AF668" s="149">
        <f t="shared" si="279"/>
        <v>-461715.62984931748</v>
      </c>
      <c r="AG668" s="149">
        <f t="shared" si="279"/>
        <v>-471376.44513855013</v>
      </c>
      <c r="AH668" s="149">
        <f t="shared" si="279"/>
        <v>-481239.40076269646</v>
      </c>
      <c r="AI668" s="149">
        <f t="shared" si="279"/>
        <v>-491397.43500409229</v>
      </c>
      <c r="AJ668" s="149">
        <f t="shared" ref="AJ668:BO668" si="280">Annual_sleep_disturbance_valuation*Household_size_multiplier</f>
        <v>-501769.88572819065</v>
      </c>
      <c r="AK668" s="149">
        <f t="shared" si="280"/>
        <v>-512361.2788527981</v>
      </c>
      <c r="AL668" s="149">
        <f t="shared" si="280"/>
        <v>-523176.23582910467</v>
      </c>
      <c r="AM668" s="149">
        <f t="shared" si="280"/>
        <v>-534219.47565820848</v>
      </c>
      <c r="AN668" s="149">
        <f t="shared" si="280"/>
        <v>-546171.97994138103</v>
      </c>
      <c r="AO668" s="149">
        <f t="shared" si="280"/>
        <v>-557847.66519527091</v>
      </c>
      <c r="AP668" s="149">
        <f t="shared" si="280"/>
        <v>-569772.94513939472</v>
      </c>
      <c r="AQ668" s="149">
        <f t="shared" si="280"/>
        <v>-581953.15543568914</v>
      </c>
      <c r="AR668" s="149">
        <f t="shared" si="280"/>
        <v>-594393.74580816575</v>
      </c>
      <c r="AS668" s="149">
        <f t="shared" si="280"/>
        <v>-606700.6188318358</v>
      </c>
      <c r="AT668" s="149">
        <f t="shared" si="280"/>
        <v>-619262.30463691347</v>
      </c>
      <c r="AU668" s="149">
        <f t="shared" si="280"/>
        <v>-632084.07910082489</v>
      </c>
      <c r="AV668" s="149">
        <f t="shared" si="280"/>
        <v>-645171.32733759866</v>
      </c>
      <c r="AW668" s="149">
        <f t="shared" si="280"/>
        <v>-658529.54595960118</v>
      </c>
      <c r="AX668" s="149">
        <f t="shared" si="280"/>
        <v>-672322.2602472452</v>
      </c>
      <c r="AY668" s="149">
        <f t="shared" si="280"/>
        <v>-686403.85901788285</v>
      </c>
      <c r="AZ668" s="149">
        <f t="shared" si="280"/>
        <v>-701464.74872737098</v>
      </c>
      <c r="BA668" s="149">
        <f t="shared" si="280"/>
        <v>-716856.10044674051</v>
      </c>
      <c r="BB668" s="149">
        <f t="shared" si="280"/>
        <v>-733299.8823191697</v>
      </c>
      <c r="BC668" s="149">
        <f t="shared" si="280"/>
        <v>-750164.49677635287</v>
      </c>
      <c r="BD668" s="149">
        <f t="shared" si="280"/>
        <v>-767396.99678590964</v>
      </c>
      <c r="BE668" s="149">
        <f t="shared" si="280"/>
        <v>-785025.35538095748</v>
      </c>
      <c r="BF668" s="149">
        <f t="shared" si="280"/>
        <v>-802275.95782625733</v>
      </c>
      <c r="BG668" s="149">
        <f t="shared" si="280"/>
        <v>-819905.63501441246</v>
      </c>
      <c r="BH668" s="149">
        <f t="shared" si="280"/>
        <v>-837810.87336698617</v>
      </c>
      <c r="BI668" s="149">
        <f t="shared" si="280"/>
        <v>-856107.12935228646</v>
      </c>
      <c r="BJ668" s="149">
        <f t="shared" si="280"/>
        <v>-874802.94207971194</v>
      </c>
      <c r="BK668" s="149">
        <f t="shared" si="280"/>
        <v>-893907.03713718103</v>
      </c>
      <c r="BL668" s="149">
        <f t="shared" si="280"/>
        <v>-913428.33066348161</v>
      </c>
      <c r="BM668" s="149">
        <f t="shared" si="280"/>
        <v>-933233.82376186096</v>
      </c>
      <c r="BN668" s="149">
        <f t="shared" si="280"/>
        <v>-953468.75127091282</v>
      </c>
      <c r="BO668" s="149">
        <f t="shared" si="280"/>
        <v>-974142.42444141756</v>
      </c>
      <c r="BP668" s="149">
        <f t="shared" ref="BP668:CP668" si="281">Annual_sleep_disturbance_valuation*Household_size_multiplier</f>
        <v>-995264.35641619982</v>
      </c>
      <c r="BQ668" s="149">
        <f t="shared" si="281"/>
        <v>-1016844.2666076719</v>
      </c>
      <c r="BR668" s="149">
        <f t="shared" si="281"/>
        <v>-1038862.4078067101</v>
      </c>
      <c r="BS668" s="149">
        <f t="shared" si="281"/>
        <v>-1061357.316744704</v>
      </c>
      <c r="BT668" s="149">
        <f t="shared" si="281"/>
        <v>-1084339.3170668182</v>
      </c>
      <c r="BU668" s="149">
        <f t="shared" si="281"/>
        <v>-1107818.9559602907</v>
      </c>
      <c r="BV668" s="149">
        <f t="shared" si="281"/>
        <v>-1131807.0089948815</v>
      </c>
      <c r="BW668" s="149">
        <f t="shared" si="281"/>
        <v>-1156412.1488228382</v>
      </c>
      <c r="BX668" s="149">
        <f t="shared" si="281"/>
        <v>-1181552.1969002944</v>
      </c>
      <c r="BY668" s="149">
        <f t="shared" si="281"/>
        <v>-1207238.7819697566</v>
      </c>
      <c r="BZ668" s="149">
        <f t="shared" si="281"/>
        <v>-1233483.7855790532</v>
      </c>
      <c r="CA668" s="149">
        <f t="shared" si="281"/>
        <v>-1260299.3475772443</v>
      </c>
      <c r="CB668" s="149">
        <f t="shared" si="281"/>
        <v>0</v>
      </c>
      <c r="CC668" s="149">
        <f t="shared" si="281"/>
        <v>0</v>
      </c>
      <c r="CD668" s="149">
        <f t="shared" si="281"/>
        <v>0</v>
      </c>
      <c r="CE668" s="149">
        <f t="shared" si="281"/>
        <v>0</v>
      </c>
      <c r="CF668" s="149">
        <f t="shared" si="281"/>
        <v>0</v>
      </c>
      <c r="CG668" s="149">
        <f t="shared" si="281"/>
        <v>0</v>
      </c>
      <c r="CH668" s="149">
        <f t="shared" si="281"/>
        <v>0</v>
      </c>
      <c r="CI668" s="149">
        <f t="shared" si="281"/>
        <v>0</v>
      </c>
      <c r="CJ668" s="149">
        <f t="shared" si="281"/>
        <v>0</v>
      </c>
      <c r="CK668" s="149">
        <f t="shared" si="281"/>
        <v>0</v>
      </c>
      <c r="CL668" s="149">
        <f t="shared" si="281"/>
        <v>0</v>
      </c>
      <c r="CM668" s="149">
        <f t="shared" si="281"/>
        <v>0</v>
      </c>
      <c r="CN668" s="149">
        <f t="shared" si="281"/>
        <v>0</v>
      </c>
      <c r="CO668" s="149">
        <f t="shared" si="281"/>
        <v>0</v>
      </c>
      <c r="CP668" s="149">
        <f t="shared" si="281"/>
        <v>0</v>
      </c>
      <c r="CQ668" s="14" t="s">
        <v>621</v>
      </c>
    </row>
    <row r="669" spans="1:95" ht="15" hidden="1" outlineLevel="1" x14ac:dyDescent="0.25">
      <c r="A669" s="131"/>
      <c r="B669" s="131" t="s">
        <v>66</v>
      </c>
      <c r="C669" s="131"/>
      <c r="D669" s="149">
        <f t="shared" ref="D669:AI669" si="282">Annual_amenity_valuation*Household_size_multiplier</f>
        <v>0</v>
      </c>
      <c r="E669" s="149">
        <f t="shared" si="282"/>
        <v>0</v>
      </c>
      <c r="F669" s="149">
        <f t="shared" si="282"/>
        <v>0</v>
      </c>
      <c r="G669" s="149">
        <f t="shared" si="282"/>
        <v>0</v>
      </c>
      <c r="H669" s="149">
        <f t="shared" si="282"/>
        <v>0</v>
      </c>
      <c r="I669" s="149">
        <f>Annual_amenity_valuation*Household_size_multiplier</f>
        <v>0</v>
      </c>
      <c r="J669" s="149">
        <f t="shared" si="282"/>
        <v>0</v>
      </c>
      <c r="K669" s="149">
        <f t="shared" si="282"/>
        <v>0</v>
      </c>
      <c r="L669" s="149">
        <f t="shared" si="282"/>
        <v>0</v>
      </c>
      <c r="M669" s="149">
        <f t="shared" si="282"/>
        <v>0</v>
      </c>
      <c r="N669" s="149">
        <f t="shared" si="282"/>
        <v>0</v>
      </c>
      <c r="O669" s="149">
        <f t="shared" si="282"/>
        <v>0</v>
      </c>
      <c r="P669" s="149">
        <f t="shared" si="282"/>
        <v>0</v>
      </c>
      <c r="Q669" s="149">
        <f t="shared" si="282"/>
        <v>0</v>
      </c>
      <c r="R669" s="149">
        <f t="shared" si="282"/>
        <v>0</v>
      </c>
      <c r="S669" s="149">
        <f t="shared" si="282"/>
        <v>0</v>
      </c>
      <c r="T669" s="149">
        <f t="shared" si="282"/>
        <v>-312539.69434019929</v>
      </c>
      <c r="U669" s="149">
        <f t="shared" si="282"/>
        <v>-315088.16551939741</v>
      </c>
      <c r="V669" s="149">
        <f t="shared" si="282"/>
        <v>-317668.49227145576</v>
      </c>
      <c r="W669" s="149">
        <f t="shared" si="282"/>
        <v>-320279.00000224932</v>
      </c>
      <c r="X669" s="149">
        <f t="shared" si="282"/>
        <v>-322917.51464626699</v>
      </c>
      <c r="Y669" s="149">
        <f t="shared" si="282"/>
        <v>-325580.87288319488</v>
      </c>
      <c r="Z669" s="149">
        <f t="shared" si="282"/>
        <v>-328264.83528764633</v>
      </c>
      <c r="AA669" s="149">
        <f t="shared" si="282"/>
        <v>-330963.63936889253</v>
      </c>
      <c r="AB669" s="149">
        <f t="shared" si="282"/>
        <v>-333996.60343974829</v>
      </c>
      <c r="AC669" s="149">
        <f t="shared" si="282"/>
        <v>-336708.78588480211</v>
      </c>
      <c r="AD669" s="149">
        <f t="shared" si="282"/>
        <v>-339416.20882763335</v>
      </c>
      <c r="AE669" s="149">
        <f t="shared" si="282"/>
        <v>-346518.06349243101</v>
      </c>
      <c r="AF669" s="149">
        <f t="shared" si="282"/>
        <v>-353768.5154792426</v>
      </c>
      <c r="AG669" s="149">
        <f t="shared" si="282"/>
        <v>-361170.67399899289</v>
      </c>
      <c r="AH669" s="149">
        <f t="shared" si="282"/>
        <v>-368727.71331891062</v>
      </c>
      <c r="AI669" s="149">
        <f t="shared" si="282"/>
        <v>-376510.84315347724</v>
      </c>
      <c r="AJ669" s="149">
        <f t="shared" ref="AJ669:BO669" si="283">Annual_amenity_valuation*Household_size_multiplier</f>
        <v>-384458.25982582034</v>
      </c>
      <c r="AK669" s="149">
        <f t="shared" si="283"/>
        <v>-392573.43111376715</v>
      </c>
      <c r="AL669" s="149">
        <f t="shared" si="283"/>
        <v>-400859.89799323678</v>
      </c>
      <c r="AM669" s="149">
        <f t="shared" si="283"/>
        <v>-409321.27618331078</v>
      </c>
      <c r="AN669" s="149">
        <f t="shared" si="283"/>
        <v>-418479.33673650713</v>
      </c>
      <c r="AO669" s="149">
        <f t="shared" si="283"/>
        <v>-427425.29735044501</v>
      </c>
      <c r="AP669" s="149">
        <f t="shared" si="283"/>
        <v>-436562.49849714193</v>
      </c>
      <c r="AQ669" s="149">
        <f t="shared" si="283"/>
        <v>-445895.02838388475</v>
      </c>
      <c r="AR669" s="149">
        <f t="shared" si="283"/>
        <v>-455427.0626128164</v>
      </c>
      <c r="AS669" s="149">
        <f t="shared" si="283"/>
        <v>-464856.64202990511</v>
      </c>
      <c r="AT669" s="149">
        <f t="shared" si="283"/>
        <v>-474481.46010381199</v>
      </c>
      <c r="AU669" s="149">
        <f t="shared" si="283"/>
        <v>-484305.55923467292</v>
      </c>
      <c r="AV669" s="149">
        <f t="shared" si="283"/>
        <v>-494333.06552018196</v>
      </c>
      <c r="AW669" s="149">
        <f t="shared" si="283"/>
        <v>-504568.19048854237</v>
      </c>
      <c r="AX669" s="149">
        <f t="shared" si="283"/>
        <v>-515136.22791790467</v>
      </c>
      <c r="AY669" s="149">
        <f t="shared" si="283"/>
        <v>-525925.6098894194</v>
      </c>
      <c r="AZ669" s="149">
        <f t="shared" si="283"/>
        <v>-537465.32882001111</v>
      </c>
      <c r="BA669" s="149">
        <f t="shared" si="283"/>
        <v>-549258.2491739468</v>
      </c>
      <c r="BB669" s="149">
        <f t="shared" si="283"/>
        <v>-561857.54606968374</v>
      </c>
      <c r="BC669" s="149">
        <f t="shared" si="283"/>
        <v>-574779.28671466594</v>
      </c>
      <c r="BD669" s="149">
        <f t="shared" si="283"/>
        <v>-587982.90286334697</v>
      </c>
      <c r="BE669" s="149">
        <f t="shared" si="283"/>
        <v>-601489.82757486496</v>
      </c>
      <c r="BF669" s="149">
        <f t="shared" si="283"/>
        <v>-614707.31388822198</v>
      </c>
      <c r="BG669" s="149">
        <f t="shared" si="283"/>
        <v>-628215.24891149008</v>
      </c>
      <c r="BH669" s="149">
        <f t="shared" si="283"/>
        <v>-641934.3200925095</v>
      </c>
      <c r="BI669" s="149">
        <f t="shared" si="283"/>
        <v>-655952.99067738932</v>
      </c>
      <c r="BJ669" s="149">
        <f t="shared" si="283"/>
        <v>-670277.80336873734</v>
      </c>
      <c r="BK669" s="149">
        <f t="shared" si="283"/>
        <v>-684915.44374981092</v>
      </c>
      <c r="BL669" s="149">
        <f t="shared" si="283"/>
        <v>-699872.74340476887</v>
      </c>
      <c r="BM669" s="149">
        <f t="shared" si="283"/>
        <v>-715047.79800284398</v>
      </c>
      <c r="BN669" s="149">
        <f t="shared" si="283"/>
        <v>-730551.88710644131</v>
      </c>
      <c r="BO669" s="149">
        <f t="shared" si="283"/>
        <v>-746392.14503623964</v>
      </c>
      <c r="BP669" s="149">
        <f t="shared" ref="BP669:CP669" si="284">Annual_amenity_valuation*Household_size_multiplier</f>
        <v>-762575.86080347688</v>
      </c>
      <c r="BQ669" s="149">
        <f t="shared" si="284"/>
        <v>-779110.48146404221</v>
      </c>
      <c r="BR669" s="149">
        <f t="shared" si="284"/>
        <v>-795980.87662077136</v>
      </c>
      <c r="BS669" s="149">
        <f t="shared" si="284"/>
        <v>-813216.57328417443</v>
      </c>
      <c r="BT669" s="149">
        <f t="shared" si="284"/>
        <v>-830825.48147589224</v>
      </c>
      <c r="BU669" s="149">
        <f t="shared" si="284"/>
        <v>-848815.6824964711</v>
      </c>
      <c r="BV669" s="149">
        <f t="shared" si="284"/>
        <v>-867195.43263413501</v>
      </c>
      <c r="BW669" s="149">
        <f t="shared" si="284"/>
        <v>-886047.9973457437</v>
      </c>
      <c r="BX669" s="149">
        <f t="shared" si="284"/>
        <v>-905310.41107503627</v>
      </c>
      <c r="BY669" s="149">
        <f t="shared" si="284"/>
        <v>-924991.58381489036</v>
      </c>
      <c r="BZ669" s="149">
        <f t="shared" si="284"/>
        <v>-945100.61925871589</v>
      </c>
      <c r="CA669" s="149">
        <f t="shared" si="284"/>
        <v>-965646.81901144597</v>
      </c>
      <c r="CB669" s="149">
        <f t="shared" si="284"/>
        <v>0</v>
      </c>
      <c r="CC669" s="149">
        <f t="shared" si="284"/>
        <v>0</v>
      </c>
      <c r="CD669" s="149">
        <f t="shared" si="284"/>
        <v>0</v>
      </c>
      <c r="CE669" s="149">
        <f t="shared" si="284"/>
        <v>0</v>
      </c>
      <c r="CF669" s="149">
        <f t="shared" si="284"/>
        <v>0</v>
      </c>
      <c r="CG669" s="149">
        <f t="shared" si="284"/>
        <v>0</v>
      </c>
      <c r="CH669" s="149">
        <f t="shared" si="284"/>
        <v>0</v>
      </c>
      <c r="CI669" s="149">
        <f t="shared" si="284"/>
        <v>0</v>
      </c>
      <c r="CJ669" s="149">
        <f t="shared" si="284"/>
        <v>0</v>
      </c>
      <c r="CK669" s="149">
        <f t="shared" si="284"/>
        <v>0</v>
      </c>
      <c r="CL669" s="149">
        <f t="shared" si="284"/>
        <v>0</v>
      </c>
      <c r="CM669" s="149">
        <f t="shared" si="284"/>
        <v>0</v>
      </c>
      <c r="CN669" s="149">
        <f t="shared" si="284"/>
        <v>0</v>
      </c>
      <c r="CO669" s="149">
        <f t="shared" si="284"/>
        <v>0</v>
      </c>
      <c r="CP669" s="149">
        <f t="shared" si="284"/>
        <v>0</v>
      </c>
      <c r="CQ669" s="14" t="s">
        <v>622</v>
      </c>
    </row>
    <row r="670" spans="1:95" ht="15" hidden="1" outlineLevel="1" x14ac:dyDescent="0.25">
      <c r="A670" s="131"/>
      <c r="B670" s="131" t="s">
        <v>67</v>
      </c>
      <c r="C670" s="131"/>
      <c r="D670" s="149">
        <f t="shared" ref="D670:AI670" si="285">Annual_AMI_valuation*Household_size_multiplier</f>
        <v>0</v>
      </c>
      <c r="E670" s="149">
        <f t="shared" si="285"/>
        <v>0</v>
      </c>
      <c r="F670" s="149">
        <f t="shared" si="285"/>
        <v>0</v>
      </c>
      <c r="G670" s="149">
        <f t="shared" si="285"/>
        <v>0</v>
      </c>
      <c r="H670" s="149">
        <f t="shared" si="285"/>
        <v>0</v>
      </c>
      <c r="I670" s="149">
        <f>Annual_AMI_valuation*Household_size_multiplier</f>
        <v>0</v>
      </c>
      <c r="J670" s="149">
        <f t="shared" si="285"/>
        <v>0</v>
      </c>
      <c r="K670" s="149">
        <f t="shared" si="285"/>
        <v>0</v>
      </c>
      <c r="L670" s="149">
        <f t="shared" si="285"/>
        <v>0</v>
      </c>
      <c r="M670" s="149">
        <f t="shared" si="285"/>
        <v>0</v>
      </c>
      <c r="N670" s="149">
        <f t="shared" si="285"/>
        <v>0</v>
      </c>
      <c r="O670" s="149">
        <f t="shared" si="285"/>
        <v>0</v>
      </c>
      <c r="P670" s="149">
        <f t="shared" si="285"/>
        <v>0</v>
      </c>
      <c r="Q670" s="149">
        <f t="shared" si="285"/>
        <v>0</v>
      </c>
      <c r="R670" s="149">
        <f t="shared" si="285"/>
        <v>0</v>
      </c>
      <c r="S670" s="149">
        <f t="shared" si="285"/>
        <v>0</v>
      </c>
      <c r="T670" s="149">
        <f t="shared" si="285"/>
        <v>-25946.981496133245</v>
      </c>
      <c r="U670" s="149">
        <f t="shared" si="285"/>
        <v>-26089.370024390337</v>
      </c>
      <c r="V670" s="149">
        <f t="shared" si="285"/>
        <v>-26231.668102604297</v>
      </c>
      <c r="W670" s="149">
        <f t="shared" si="285"/>
        <v>-26373.621045743381</v>
      </c>
      <c r="X670" s="149">
        <f t="shared" si="285"/>
        <v>-26514.929242041766</v>
      </c>
      <c r="Y670" s="149">
        <f t="shared" si="285"/>
        <v>-26655.20842322669</v>
      </c>
      <c r="Z670" s="149">
        <f t="shared" si="285"/>
        <v>-26793.983574781068</v>
      </c>
      <c r="AA670" s="149">
        <f t="shared" si="285"/>
        <v>-26930.65374859278</v>
      </c>
      <c r="AB670" s="149">
        <f t="shared" si="285"/>
        <v>-27090.985259978301</v>
      </c>
      <c r="AC670" s="149">
        <f t="shared" si="285"/>
        <v>-27221.633584482497</v>
      </c>
      <c r="AD670" s="149">
        <f t="shared" si="285"/>
        <v>-27348.181522232055</v>
      </c>
      <c r="AE670" s="149">
        <f t="shared" si="285"/>
        <v>-27920.407613579478</v>
      </c>
      <c r="AF670" s="149">
        <f t="shared" si="285"/>
        <v>-28504.606811780552</v>
      </c>
      <c r="AG670" s="149">
        <f t="shared" si="285"/>
        <v>-29101.029638945151</v>
      </c>
      <c r="AH670" s="149">
        <f t="shared" si="285"/>
        <v>-29709.931859041277</v>
      </c>
      <c r="AI670" s="149">
        <f t="shared" si="285"/>
        <v>-30337.051136173151</v>
      </c>
      <c r="AJ670" s="149">
        <f t="shared" ref="AJ670:BO670" si="286">Annual_AMI_valuation*Household_size_multiplier</f>
        <v>-30977.407689971173</v>
      </c>
      <c r="AK670" s="149">
        <f t="shared" si="286"/>
        <v>-31631.2809337781</v>
      </c>
      <c r="AL670" s="149">
        <f t="shared" si="286"/>
        <v>-32298.956178812685</v>
      </c>
      <c r="AM670" s="149">
        <f t="shared" si="286"/>
        <v>-32980.724758662429</v>
      </c>
      <c r="AN670" s="149">
        <f t="shared" si="286"/>
        <v>-33718.627946213484</v>
      </c>
      <c r="AO670" s="149">
        <f t="shared" si="286"/>
        <v>-34439.44135581985</v>
      </c>
      <c r="AP670" s="149">
        <f t="shared" si="286"/>
        <v>-35175.663813869614</v>
      </c>
      <c r="AQ670" s="149">
        <f t="shared" si="286"/>
        <v>-35927.624724298359</v>
      </c>
      <c r="AR670" s="149">
        <f t="shared" si="286"/>
        <v>-36695.660532810187</v>
      </c>
      <c r="AS670" s="149">
        <f t="shared" si="286"/>
        <v>-37455.441129227744</v>
      </c>
      <c r="AT670" s="149">
        <f t="shared" si="286"/>
        <v>-38230.952919642375</v>
      </c>
      <c r="AU670" s="149">
        <f t="shared" si="286"/>
        <v>-39022.521617116188</v>
      </c>
      <c r="AV670" s="149">
        <f t="shared" si="286"/>
        <v>-39830.479678573087</v>
      </c>
      <c r="AW670" s="149">
        <f t="shared" si="286"/>
        <v>-40655.166444429924</v>
      </c>
      <c r="AX670" s="149">
        <f t="shared" si="286"/>
        <v>-41506.677357683671</v>
      </c>
      <c r="AY670" s="149">
        <f t="shared" si="286"/>
        <v>-42376.02292514751</v>
      </c>
      <c r="AZ670" s="149">
        <f t="shared" si="286"/>
        <v>-43305.826275197964</v>
      </c>
      <c r="BA670" s="149">
        <f t="shared" si="286"/>
        <v>-44256.031121426866</v>
      </c>
      <c r="BB670" s="149">
        <f t="shared" si="286"/>
        <v>-45271.209093472658</v>
      </c>
      <c r="BC670" s="149">
        <f t="shared" si="286"/>
        <v>-46312.367705086399</v>
      </c>
      <c r="BD670" s="149">
        <f t="shared" si="286"/>
        <v>-47376.238203290508</v>
      </c>
      <c r="BE670" s="149">
        <f t="shared" si="286"/>
        <v>-48464.547539175241</v>
      </c>
      <c r="BF670" s="149">
        <f t="shared" si="286"/>
        <v>-49529.535614476241</v>
      </c>
      <c r="BG670" s="149">
        <f t="shared" si="286"/>
        <v>-50617.926355398267</v>
      </c>
      <c r="BH670" s="149">
        <f t="shared" si="286"/>
        <v>-51723.329218363702</v>
      </c>
      <c r="BI670" s="149">
        <f t="shared" si="286"/>
        <v>-52852.872056579676</v>
      </c>
      <c r="BJ670" s="149">
        <f t="shared" si="286"/>
        <v>-54007.082042920978</v>
      </c>
      <c r="BK670" s="149">
        <f t="shared" si="286"/>
        <v>-55186.497862753095</v>
      </c>
      <c r="BL670" s="149">
        <f t="shared" si="286"/>
        <v>-56391.669965343935</v>
      </c>
      <c r="BM670" s="149">
        <f t="shared" si="286"/>
        <v>-57614.387493158567</v>
      </c>
      <c r="BN670" s="149">
        <f t="shared" si="286"/>
        <v>-58863.616705300781</v>
      </c>
      <c r="BO670" s="149">
        <f t="shared" si="286"/>
        <v>-60139.932443784252</v>
      </c>
      <c r="BP670" s="149">
        <f t="shared" ref="BP670:CP670" si="287">Annual_AMI_valuation*Household_size_multiplier</f>
        <v>-61443.922014687087</v>
      </c>
      <c r="BQ670" s="149">
        <f t="shared" si="287"/>
        <v>-62776.185458405023</v>
      </c>
      <c r="BR670" s="149">
        <f t="shared" si="287"/>
        <v>-64135.503655646207</v>
      </c>
      <c r="BS670" s="149">
        <f t="shared" si="287"/>
        <v>-65524.255720967427</v>
      </c>
      <c r="BT670" s="149">
        <f t="shared" si="287"/>
        <v>-66943.078997848628</v>
      </c>
      <c r="BU670" s="149">
        <f t="shared" si="287"/>
        <v>-68392.624630426508</v>
      </c>
      <c r="BV670" s="149">
        <f t="shared" si="287"/>
        <v>-69873.557862325761</v>
      </c>
      <c r="BW670" s="149">
        <f t="shared" si="287"/>
        <v>-71392.587739165057</v>
      </c>
      <c r="BX670" s="149">
        <f t="shared" si="287"/>
        <v>-72944.640863099849</v>
      </c>
      <c r="BY670" s="149">
        <f t="shared" si="287"/>
        <v>-74530.435149468976</v>
      </c>
      <c r="BZ670" s="149">
        <f t="shared" si="287"/>
        <v>-76150.704120872222</v>
      </c>
      <c r="CA670" s="149">
        <f t="shared" si="287"/>
        <v>-77806.197246467331</v>
      </c>
      <c r="CB670" s="149">
        <f t="shared" si="287"/>
        <v>0</v>
      </c>
      <c r="CC670" s="149">
        <f t="shared" si="287"/>
        <v>0</v>
      </c>
      <c r="CD670" s="149">
        <f t="shared" si="287"/>
        <v>0</v>
      </c>
      <c r="CE670" s="149">
        <f t="shared" si="287"/>
        <v>0</v>
      </c>
      <c r="CF670" s="149">
        <f t="shared" si="287"/>
        <v>0</v>
      </c>
      <c r="CG670" s="149">
        <f t="shared" si="287"/>
        <v>0</v>
      </c>
      <c r="CH670" s="149">
        <f t="shared" si="287"/>
        <v>0</v>
      </c>
      <c r="CI670" s="149">
        <f t="shared" si="287"/>
        <v>0</v>
      </c>
      <c r="CJ670" s="149">
        <f t="shared" si="287"/>
        <v>0</v>
      </c>
      <c r="CK670" s="149">
        <f t="shared" si="287"/>
        <v>0</v>
      </c>
      <c r="CL670" s="149">
        <f t="shared" si="287"/>
        <v>0</v>
      </c>
      <c r="CM670" s="149">
        <f t="shared" si="287"/>
        <v>0</v>
      </c>
      <c r="CN670" s="149">
        <f t="shared" si="287"/>
        <v>0</v>
      </c>
      <c r="CO670" s="149">
        <f t="shared" si="287"/>
        <v>0</v>
      </c>
      <c r="CP670" s="149">
        <f t="shared" si="287"/>
        <v>0</v>
      </c>
      <c r="CQ670" s="14" t="s">
        <v>623</v>
      </c>
    </row>
    <row r="671" spans="1:95" ht="15" hidden="1" outlineLevel="1" x14ac:dyDescent="0.25">
      <c r="A671" s="131"/>
      <c r="B671" s="131" t="s">
        <v>68</v>
      </c>
      <c r="C671" s="131"/>
      <c r="D671" s="149">
        <f t="shared" ref="D671:AI671" si="288">Annual_stroke_valuation*Household_size_multiplier</f>
        <v>0</v>
      </c>
      <c r="E671" s="149">
        <f t="shared" si="288"/>
        <v>0</v>
      </c>
      <c r="F671" s="149">
        <f t="shared" si="288"/>
        <v>0</v>
      </c>
      <c r="G671" s="149">
        <f t="shared" si="288"/>
        <v>0</v>
      </c>
      <c r="H671" s="149">
        <f t="shared" si="288"/>
        <v>0</v>
      </c>
      <c r="I671" s="149">
        <f>Annual_stroke_valuation*Household_size_multiplier</f>
        <v>0</v>
      </c>
      <c r="J671" s="149">
        <f t="shared" si="288"/>
        <v>0</v>
      </c>
      <c r="K671" s="149">
        <f t="shared" si="288"/>
        <v>0</v>
      </c>
      <c r="L671" s="149">
        <f t="shared" si="288"/>
        <v>0</v>
      </c>
      <c r="M671" s="149">
        <f t="shared" si="288"/>
        <v>0</v>
      </c>
      <c r="N671" s="149">
        <f t="shared" si="288"/>
        <v>0</v>
      </c>
      <c r="O671" s="149">
        <f t="shared" si="288"/>
        <v>0</v>
      </c>
      <c r="P671" s="149">
        <f t="shared" si="288"/>
        <v>0</v>
      </c>
      <c r="Q671" s="149">
        <f t="shared" si="288"/>
        <v>0</v>
      </c>
      <c r="R671" s="149">
        <f t="shared" si="288"/>
        <v>0</v>
      </c>
      <c r="S671" s="149">
        <f t="shared" si="288"/>
        <v>0</v>
      </c>
      <c r="T671" s="149">
        <f t="shared" si="288"/>
        <v>-45017.679244263432</v>
      </c>
      <c r="U671" s="149">
        <f t="shared" si="288"/>
        <v>-45441.550724058579</v>
      </c>
      <c r="V671" s="149">
        <f t="shared" si="288"/>
        <v>-45872.255867310014</v>
      </c>
      <c r="W671" s="149">
        <f t="shared" si="288"/>
        <v>-46309.648414279109</v>
      </c>
      <c r="X671" s="149">
        <f t="shared" si="288"/>
        <v>-46753.513003140157</v>
      </c>
      <c r="Y671" s="149">
        <f t="shared" si="288"/>
        <v>-47203.493857384747</v>
      </c>
      <c r="Z671" s="149">
        <f t="shared" si="288"/>
        <v>-47659.081356194089</v>
      </c>
      <c r="AA671" s="149">
        <f t="shared" si="288"/>
        <v>-48119.546079578213</v>
      </c>
      <c r="AB671" s="149">
        <f t="shared" si="288"/>
        <v>-48631.492366449311</v>
      </c>
      <c r="AC671" s="149">
        <f t="shared" si="288"/>
        <v>-49099.739180038348</v>
      </c>
      <c r="AD671" s="149">
        <f t="shared" si="288"/>
        <v>-49570.342090909653</v>
      </c>
      <c r="AE671" s="149">
        <f t="shared" si="288"/>
        <v>-50607.538771733824</v>
      </c>
      <c r="AF671" s="149">
        <f t="shared" si="288"/>
        <v>-51666.43748061217</v>
      </c>
      <c r="AG671" s="149">
        <f t="shared" si="288"/>
        <v>-52747.492305019514</v>
      </c>
      <c r="AH671" s="149">
        <f t="shared" si="288"/>
        <v>-53851.166833636431</v>
      </c>
      <c r="AI671" s="149">
        <f t="shared" si="288"/>
        <v>-54987.860952547409</v>
      </c>
      <c r="AJ671" s="149">
        <f t="shared" ref="AJ671:BO671" si="289">Annual_stroke_valuation*Household_size_multiplier</f>
        <v>-56148.548488796187</v>
      </c>
      <c r="AK671" s="149">
        <f t="shared" si="289"/>
        <v>-57333.735897079729</v>
      </c>
      <c r="AL671" s="149">
        <f t="shared" si="289"/>
        <v>-58543.940322375471</v>
      </c>
      <c r="AM671" s="149">
        <f t="shared" si="289"/>
        <v>-59779.689825592417</v>
      </c>
      <c r="AN671" s="149">
        <f t="shared" si="289"/>
        <v>-61117.186924152462</v>
      </c>
      <c r="AO671" s="149">
        <f t="shared" si="289"/>
        <v>-62423.707698444377</v>
      </c>
      <c r="AP671" s="149">
        <f t="shared" si="289"/>
        <v>-63758.1583664301</v>
      </c>
      <c r="AQ671" s="149">
        <f t="shared" si="289"/>
        <v>-65121.13599397886</v>
      </c>
      <c r="AR671" s="149">
        <f t="shared" si="289"/>
        <v>-66513.250410619323</v>
      </c>
      <c r="AS671" s="149">
        <f t="shared" si="289"/>
        <v>-67890.401723142131</v>
      </c>
      <c r="AT671" s="149">
        <f t="shared" si="289"/>
        <v>-69296.066838942832</v>
      </c>
      <c r="AU671" s="149">
        <f t="shared" si="289"/>
        <v>-70730.836133944569</v>
      </c>
      <c r="AV671" s="149">
        <f t="shared" si="289"/>
        <v>-72195.31220775476</v>
      </c>
      <c r="AW671" s="149">
        <f t="shared" si="289"/>
        <v>-73690.110136755524</v>
      </c>
      <c r="AX671" s="149">
        <f t="shared" si="289"/>
        <v>-75233.528562211635</v>
      </c>
      <c r="AY671" s="149">
        <f t="shared" si="289"/>
        <v>-76809.273448187552</v>
      </c>
      <c r="AZ671" s="149">
        <f t="shared" si="289"/>
        <v>-78494.601962692497</v>
      </c>
      <c r="BA671" s="149">
        <f t="shared" si="289"/>
        <v>-80216.909504264011</v>
      </c>
      <c r="BB671" s="149">
        <f t="shared" si="289"/>
        <v>-82056.985025064438</v>
      </c>
      <c r="BC671" s="149">
        <f t="shared" si="289"/>
        <v>-83944.152130000977</v>
      </c>
      <c r="BD671" s="149">
        <f t="shared" si="289"/>
        <v>-85872.485993571885</v>
      </c>
      <c r="BE671" s="149">
        <f t="shared" si="289"/>
        <v>-87845.116825961275</v>
      </c>
      <c r="BF671" s="149">
        <f t="shared" si="289"/>
        <v>-89775.476370068223</v>
      </c>
      <c r="BG671" s="149">
        <f t="shared" si="289"/>
        <v>-91748.254754335736</v>
      </c>
      <c r="BH671" s="149">
        <f t="shared" si="289"/>
        <v>-93751.868706543974</v>
      </c>
      <c r="BI671" s="149">
        <f t="shared" si="289"/>
        <v>-95799.237920149098</v>
      </c>
      <c r="BJ671" s="149">
        <f t="shared" si="289"/>
        <v>-97891.317929972472</v>
      </c>
      <c r="BK671" s="149">
        <f t="shared" si="289"/>
        <v>-100029.08513796698</v>
      </c>
      <c r="BL671" s="149">
        <f t="shared" si="289"/>
        <v>-102213.53726891703</v>
      </c>
      <c r="BM671" s="149">
        <f t="shared" si="289"/>
        <v>-104429.79161420323</v>
      </c>
      <c r="BN671" s="149">
        <f t="shared" si="289"/>
        <v>-106694.10009648776</v>
      </c>
      <c r="BO671" s="149">
        <f t="shared" si="289"/>
        <v>-109007.5046539793</v>
      </c>
      <c r="BP671" s="149">
        <f t="shared" ref="BP671:CP671" si="290">Annual_stroke_valuation*Household_size_multiplier</f>
        <v>-111371.06981680686</v>
      </c>
      <c r="BQ671" s="149">
        <f t="shared" si="290"/>
        <v>-113785.8831968711</v>
      </c>
      <c r="BR671" s="149">
        <f t="shared" si="290"/>
        <v>-116249.73506186137</v>
      </c>
      <c r="BS671" s="149">
        <f t="shared" si="290"/>
        <v>-118766.93771028856</v>
      </c>
      <c r="BT671" s="149">
        <f t="shared" si="290"/>
        <v>-121338.64636829833</v>
      </c>
      <c r="BU671" s="149">
        <f t="shared" si="290"/>
        <v>-123966.04127661634</v>
      </c>
      <c r="BV671" s="149">
        <f t="shared" si="290"/>
        <v>-126650.32823219932</v>
      </c>
      <c r="BW671" s="149">
        <f t="shared" si="290"/>
        <v>-129403.66781274963</v>
      </c>
      <c r="BX671" s="149">
        <f t="shared" si="290"/>
        <v>-132216.86415760237</v>
      </c>
      <c r="BY671" s="149">
        <f t="shared" si="290"/>
        <v>-135091.21853459175</v>
      </c>
      <c r="BZ671" s="149">
        <f t="shared" si="290"/>
        <v>-138028.06050071857</v>
      </c>
      <c r="CA671" s="149">
        <f t="shared" si="290"/>
        <v>-141028.74851714802</v>
      </c>
      <c r="CB671" s="149">
        <f t="shared" si="290"/>
        <v>0</v>
      </c>
      <c r="CC671" s="149">
        <f t="shared" si="290"/>
        <v>0</v>
      </c>
      <c r="CD671" s="149">
        <f t="shared" si="290"/>
        <v>0</v>
      </c>
      <c r="CE671" s="149">
        <f t="shared" si="290"/>
        <v>0</v>
      </c>
      <c r="CF671" s="149">
        <f t="shared" si="290"/>
        <v>0</v>
      </c>
      <c r="CG671" s="149">
        <f t="shared" si="290"/>
        <v>0</v>
      </c>
      <c r="CH671" s="149">
        <f t="shared" si="290"/>
        <v>0</v>
      </c>
      <c r="CI671" s="149">
        <f t="shared" si="290"/>
        <v>0</v>
      </c>
      <c r="CJ671" s="149">
        <f t="shared" si="290"/>
        <v>0</v>
      </c>
      <c r="CK671" s="149">
        <f t="shared" si="290"/>
        <v>0</v>
      </c>
      <c r="CL671" s="149">
        <f t="shared" si="290"/>
        <v>0</v>
      </c>
      <c r="CM671" s="149">
        <f t="shared" si="290"/>
        <v>0</v>
      </c>
      <c r="CN671" s="149">
        <f t="shared" si="290"/>
        <v>0</v>
      </c>
      <c r="CO671" s="149">
        <f t="shared" si="290"/>
        <v>0</v>
      </c>
      <c r="CP671" s="149">
        <f t="shared" si="290"/>
        <v>0</v>
      </c>
      <c r="CQ671" s="14" t="s">
        <v>624</v>
      </c>
    </row>
    <row r="672" spans="1:95" ht="15" hidden="1" outlineLevel="1" x14ac:dyDescent="0.25">
      <c r="A672" s="131"/>
      <c r="B672" s="131" t="s">
        <v>69</v>
      </c>
      <c r="C672" s="131"/>
      <c r="D672" s="149">
        <f t="shared" ref="D672:AI672" si="291">Annual_dementia_valuation*Household_size_multiplier</f>
        <v>0</v>
      </c>
      <c r="E672" s="149">
        <f t="shared" si="291"/>
        <v>0</v>
      </c>
      <c r="F672" s="149">
        <f t="shared" si="291"/>
        <v>0</v>
      </c>
      <c r="G672" s="149">
        <f t="shared" si="291"/>
        <v>0</v>
      </c>
      <c r="H672" s="149">
        <f t="shared" si="291"/>
        <v>0</v>
      </c>
      <c r="I672" s="149">
        <f t="shared" si="291"/>
        <v>0</v>
      </c>
      <c r="J672" s="149">
        <f t="shared" si="291"/>
        <v>0</v>
      </c>
      <c r="K672" s="149">
        <f t="shared" si="291"/>
        <v>0</v>
      </c>
      <c r="L672" s="149">
        <f t="shared" si="291"/>
        <v>0</v>
      </c>
      <c r="M672" s="149">
        <f t="shared" si="291"/>
        <v>0</v>
      </c>
      <c r="N672" s="149">
        <f t="shared" si="291"/>
        <v>0</v>
      </c>
      <c r="O672" s="149">
        <f t="shared" si="291"/>
        <v>0</v>
      </c>
      <c r="P672" s="149">
        <f t="shared" si="291"/>
        <v>0</v>
      </c>
      <c r="Q672" s="149">
        <f t="shared" si="291"/>
        <v>0</v>
      </c>
      <c r="R672" s="149">
        <f t="shared" si="291"/>
        <v>0</v>
      </c>
      <c r="S672" s="149">
        <f t="shared" si="291"/>
        <v>0</v>
      </c>
      <c r="T672" s="149">
        <f t="shared" si="291"/>
        <v>-68076.1474347365</v>
      </c>
      <c r="U672" s="149">
        <f t="shared" si="291"/>
        <v>-68717.260474809285</v>
      </c>
      <c r="V672" s="149">
        <f t="shared" si="291"/>
        <v>-69368.712610432325</v>
      </c>
      <c r="W672" s="149">
        <f t="shared" si="291"/>
        <v>-70030.282884787332</v>
      </c>
      <c r="X672" s="149">
        <f t="shared" si="291"/>
        <v>-70701.645850784116</v>
      </c>
      <c r="Y672" s="149">
        <f t="shared" si="291"/>
        <v>-71382.263729738595</v>
      </c>
      <c r="Z672" s="149">
        <f t="shared" si="291"/>
        <v>-72071.366100849962</v>
      </c>
      <c r="AA672" s="149">
        <f t="shared" si="291"/>
        <v>-72767.850160029499</v>
      </c>
      <c r="AB672" s="149">
        <f t="shared" si="291"/>
        <v>-73542.19282045521</v>
      </c>
      <c r="AC672" s="149">
        <f t="shared" si="291"/>
        <v>-74250.458502200607</v>
      </c>
      <c r="AD672" s="149">
        <f t="shared" si="291"/>
        <v>-74962.294095638994</v>
      </c>
      <c r="AE672" s="149">
        <f t="shared" si="291"/>
        <v>-76530.785240613754</v>
      </c>
      <c r="AF672" s="149">
        <f t="shared" si="291"/>
        <v>-78132.095077993072</v>
      </c>
      <c r="AG672" s="149">
        <f t="shared" si="291"/>
        <v>-79766.910297385984</v>
      </c>
      <c r="AH672" s="149">
        <f t="shared" si="291"/>
        <v>-81435.931956512664</v>
      </c>
      <c r="AI672" s="149">
        <f t="shared" si="291"/>
        <v>-83154.887187491666</v>
      </c>
      <c r="AJ672" s="149">
        <f t="shared" ref="AJ672:BO672" si="292">Annual_dementia_valuation*Household_size_multiplier</f>
        <v>-84910.12624325318</v>
      </c>
      <c r="AK672" s="149">
        <f t="shared" si="292"/>
        <v>-86702.415005256538</v>
      </c>
      <c r="AL672" s="149">
        <f t="shared" si="292"/>
        <v>-88532.535521239406</v>
      </c>
      <c r="AM672" s="149">
        <f t="shared" si="292"/>
        <v>-90401.286346456662</v>
      </c>
      <c r="AN672" s="149">
        <f t="shared" si="292"/>
        <v>-92423.904037301851</v>
      </c>
      <c r="AO672" s="149">
        <f t="shared" si="292"/>
        <v>-94399.67806655739</v>
      </c>
      <c r="AP672" s="149">
        <f t="shared" si="292"/>
        <v>-96417.688820774318</v>
      </c>
      <c r="AQ672" s="149">
        <f t="shared" si="292"/>
        <v>-98478.83920732417</v>
      </c>
      <c r="AR672" s="149">
        <f t="shared" si="292"/>
        <v>-100584.05143530511</v>
      </c>
      <c r="AS672" s="149">
        <f t="shared" si="292"/>
        <v>-102666.63584664934</v>
      </c>
      <c r="AT672" s="149">
        <f t="shared" si="292"/>
        <v>-104792.33999485527</v>
      </c>
      <c r="AU672" s="149">
        <f t="shared" si="292"/>
        <v>-106962.05667048492</v>
      </c>
      <c r="AV672" s="149">
        <f t="shared" si="292"/>
        <v>-109176.69714925453</v>
      </c>
      <c r="AW672" s="149">
        <f t="shared" si="292"/>
        <v>-111437.19157476821</v>
      </c>
      <c r="AX672" s="149">
        <f t="shared" si="292"/>
        <v>-113771.21189904767</v>
      </c>
      <c r="AY672" s="149">
        <f t="shared" si="292"/>
        <v>-116154.11761605073</v>
      </c>
      <c r="AZ672" s="149">
        <f t="shared" si="292"/>
        <v>-118702.74016782557</v>
      </c>
      <c r="BA672" s="149">
        <f t="shared" si="292"/>
        <v>-121307.28391331037</v>
      </c>
      <c r="BB672" s="149">
        <f t="shared" si="292"/>
        <v>-124089.92120266899</v>
      </c>
      <c r="BC672" s="149">
        <f t="shared" si="292"/>
        <v>-126943.77230719487</v>
      </c>
      <c r="BD672" s="149">
        <f t="shared" si="292"/>
        <v>-129859.87746399366</v>
      </c>
      <c r="BE672" s="149">
        <f t="shared" si="292"/>
        <v>-132842.97030463832</v>
      </c>
      <c r="BF672" s="149">
        <f t="shared" si="292"/>
        <v>-135762.13877820439</v>
      </c>
      <c r="BG672" s="149">
        <f t="shared" si="292"/>
        <v>-138745.45475282019</v>
      </c>
      <c r="BH672" s="149">
        <f t="shared" si="292"/>
        <v>-141775.40153156358</v>
      </c>
      <c r="BI672" s="149">
        <f t="shared" si="292"/>
        <v>-144871.51680208478</v>
      </c>
      <c r="BJ672" s="149">
        <f t="shared" si="292"/>
        <v>-148035.24556313251</v>
      </c>
      <c r="BK672" s="149">
        <f t="shared" si="292"/>
        <v>-151268.06436958342</v>
      </c>
      <c r="BL672" s="149">
        <f t="shared" si="292"/>
        <v>-154571.48202156997</v>
      </c>
      <c r="BM672" s="149">
        <f t="shared" si="292"/>
        <v>-157922.99227980862</v>
      </c>
      <c r="BN672" s="149">
        <f t="shared" si="292"/>
        <v>-161347.17196493104</v>
      </c>
      <c r="BO672" s="149">
        <f t="shared" si="292"/>
        <v>-164845.5967384142</v>
      </c>
      <c r="BP672" s="149">
        <f t="shared" ref="BP672:CP672" si="293">Annual_dementia_valuation*Household_size_multiplier</f>
        <v>-168419.87642615873</v>
      </c>
      <c r="BQ672" s="149">
        <f t="shared" si="293"/>
        <v>-172071.65575926233</v>
      </c>
      <c r="BR672" s="149">
        <f t="shared" si="293"/>
        <v>-175797.59309035368</v>
      </c>
      <c r="BS672" s="149">
        <f t="shared" si="293"/>
        <v>-179604.20965321022</v>
      </c>
      <c r="BT672" s="149">
        <f t="shared" si="293"/>
        <v>-183493.25242794992</v>
      </c>
      <c r="BU672" s="149">
        <f t="shared" si="293"/>
        <v>-187466.50622275958</v>
      </c>
      <c r="BV672" s="149">
        <f t="shared" si="293"/>
        <v>-191525.7944930013</v>
      </c>
      <c r="BW672" s="149">
        <f t="shared" si="293"/>
        <v>-195689.50696050565</v>
      </c>
      <c r="BX672" s="149">
        <f t="shared" si="293"/>
        <v>-199943.73726952542</v>
      </c>
      <c r="BY672" s="149">
        <f t="shared" si="293"/>
        <v>-204290.45325037959</v>
      </c>
      <c r="BZ672" s="149">
        <f t="shared" si="293"/>
        <v>-208731.66551341914</v>
      </c>
      <c r="CA672" s="149">
        <f t="shared" si="293"/>
        <v>-213269.42837905194</v>
      </c>
      <c r="CB672" s="149">
        <f t="shared" si="293"/>
        <v>0</v>
      </c>
      <c r="CC672" s="149">
        <f t="shared" si="293"/>
        <v>0</v>
      </c>
      <c r="CD672" s="149">
        <f t="shared" si="293"/>
        <v>0</v>
      </c>
      <c r="CE672" s="149">
        <f t="shared" si="293"/>
        <v>0</v>
      </c>
      <c r="CF672" s="149">
        <f t="shared" si="293"/>
        <v>0</v>
      </c>
      <c r="CG672" s="149">
        <f t="shared" si="293"/>
        <v>0</v>
      </c>
      <c r="CH672" s="149">
        <f t="shared" si="293"/>
        <v>0</v>
      </c>
      <c r="CI672" s="149">
        <f t="shared" si="293"/>
        <v>0</v>
      </c>
      <c r="CJ672" s="149">
        <f t="shared" si="293"/>
        <v>0</v>
      </c>
      <c r="CK672" s="149">
        <f t="shared" si="293"/>
        <v>0</v>
      </c>
      <c r="CL672" s="149">
        <f t="shared" si="293"/>
        <v>0</v>
      </c>
      <c r="CM672" s="149">
        <f t="shared" si="293"/>
        <v>0</v>
      </c>
      <c r="CN672" s="149">
        <f t="shared" si="293"/>
        <v>0</v>
      </c>
      <c r="CO672" s="149">
        <f t="shared" si="293"/>
        <v>0</v>
      </c>
      <c r="CP672" s="149">
        <f t="shared" si="293"/>
        <v>0</v>
      </c>
      <c r="CQ672" s="14" t="s">
        <v>625</v>
      </c>
    </row>
    <row r="673" spans="1:95" ht="15" hidden="1" outlineLevel="1" x14ac:dyDescent="0.25">
      <c r="A673" s="131"/>
      <c r="B673" s="131"/>
      <c r="C673" s="131"/>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c r="BM673" s="149"/>
      <c r="BN673" s="149"/>
      <c r="BO673" s="149"/>
      <c r="BP673" s="149"/>
      <c r="BQ673" s="149"/>
      <c r="BR673" s="149"/>
      <c r="BS673" s="149"/>
      <c r="BT673" s="149"/>
      <c r="BU673" s="149"/>
      <c r="BV673" s="149"/>
      <c r="BW673" s="149"/>
      <c r="BX673" s="149"/>
      <c r="BY673" s="149"/>
      <c r="BZ673" s="149"/>
      <c r="CA673" s="149"/>
      <c r="CB673" s="149"/>
      <c r="CC673" s="149"/>
      <c r="CD673" s="149"/>
      <c r="CE673" s="149"/>
      <c r="CF673" s="149"/>
      <c r="CG673" s="149"/>
      <c r="CH673" s="149"/>
      <c r="CI673" s="149"/>
      <c r="CJ673" s="149"/>
      <c r="CK673" s="149"/>
      <c r="CL673" s="149"/>
      <c r="CM673" s="149"/>
      <c r="CN673" s="149"/>
      <c r="CO673" s="149"/>
      <c r="CP673" s="149"/>
      <c r="CQ673" s="14"/>
    </row>
    <row r="674" spans="1:95" s="2" customFormat="1" ht="18.75" collapsed="1" x14ac:dyDescent="0.3">
      <c r="B674" s="2" t="s">
        <v>479</v>
      </c>
    </row>
    <row r="675" spans="1:95" ht="15" x14ac:dyDescent="0.25">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c r="AO675" s="131"/>
      <c r="AP675" s="131"/>
      <c r="AQ675" s="131"/>
      <c r="AR675" s="131"/>
      <c r="AS675" s="131"/>
      <c r="AT675" s="131"/>
      <c r="AU675" s="131"/>
      <c r="AV675" s="131"/>
      <c r="AW675" s="131"/>
      <c r="AX675" s="131"/>
      <c r="AY675" s="131"/>
      <c r="AZ675" s="131"/>
      <c r="BA675" s="131"/>
      <c r="BB675" s="131"/>
      <c r="BC675" s="131"/>
      <c r="BD675" s="131"/>
      <c r="BE675" s="131"/>
      <c r="BF675" s="131"/>
      <c r="BG675" s="131"/>
      <c r="BH675" s="131"/>
      <c r="BI675" s="131"/>
      <c r="BJ675" s="131"/>
      <c r="BK675" s="131"/>
      <c r="BL675" s="131"/>
      <c r="BM675" s="131"/>
      <c r="BN675" s="131"/>
      <c r="BO675" s="131"/>
      <c r="BP675" s="131"/>
      <c r="BQ675" s="131"/>
      <c r="BR675" s="131"/>
      <c r="BS675" s="131"/>
      <c r="BT675" s="131"/>
      <c r="BU675" s="131"/>
      <c r="BV675" s="131"/>
      <c r="BW675" s="131"/>
      <c r="BX675" s="131"/>
      <c r="BY675" s="131"/>
      <c r="BZ675" s="131"/>
      <c r="CA675" s="131"/>
      <c r="CB675" s="131"/>
      <c r="CC675" s="131"/>
      <c r="CD675" s="131"/>
      <c r="CE675" s="131"/>
      <c r="CF675" s="131"/>
      <c r="CG675" s="131"/>
      <c r="CH675" s="131"/>
      <c r="CI675" s="131"/>
      <c r="CJ675" s="131"/>
      <c r="CK675" s="131"/>
      <c r="CL675" s="131"/>
      <c r="CM675" s="131"/>
      <c r="CN675" s="131"/>
      <c r="CO675" s="131"/>
      <c r="CP675" s="131"/>
      <c r="CQ675" s="131"/>
    </row>
    <row r="676" spans="1:95" s="5" customFormat="1" ht="15.75" hidden="1" outlineLevel="2" x14ac:dyDescent="0.25">
      <c r="B676" s="5" t="s">
        <v>480</v>
      </c>
    </row>
    <row r="677" spans="1:95" ht="15" hidden="1" outlineLevel="2" x14ac:dyDescent="0.25">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c r="AO677" s="131"/>
      <c r="AP677" s="131"/>
      <c r="AQ677" s="131"/>
      <c r="AR677" s="131"/>
      <c r="AS677" s="131"/>
      <c r="AT677" s="131"/>
      <c r="AU677" s="131"/>
      <c r="AV677" s="131"/>
      <c r="AW677" s="131"/>
      <c r="AX677" s="131"/>
      <c r="AY677" s="131"/>
      <c r="AZ677" s="131"/>
      <c r="BA677" s="131"/>
      <c r="BB677" s="131"/>
      <c r="BC677" s="131"/>
      <c r="BD677" s="131"/>
      <c r="BE677" s="131"/>
      <c r="BF677" s="131"/>
      <c r="BG677" s="131"/>
      <c r="BH677" s="131"/>
      <c r="BI677" s="131"/>
      <c r="BJ677" s="131"/>
      <c r="BK677" s="131"/>
      <c r="BL677" s="131"/>
      <c r="BM677" s="131"/>
      <c r="BN677" s="131"/>
      <c r="BO677" s="131"/>
      <c r="BP677" s="131"/>
      <c r="BQ677" s="131"/>
      <c r="BR677" s="131"/>
      <c r="BS677" s="131"/>
      <c r="BT677" s="131"/>
      <c r="BU677" s="131"/>
      <c r="BV677" s="131"/>
      <c r="BW677" s="131"/>
      <c r="BX677" s="131"/>
      <c r="BY677" s="131"/>
      <c r="BZ677" s="131"/>
      <c r="CA677" s="131"/>
      <c r="CB677" s="131"/>
      <c r="CC677" s="131"/>
      <c r="CD677" s="131"/>
      <c r="CE677" s="131"/>
      <c r="CF677" s="131"/>
      <c r="CG677" s="131"/>
      <c r="CH677" s="131"/>
      <c r="CI677" s="131"/>
      <c r="CJ677" s="131"/>
      <c r="CK677" s="131"/>
      <c r="CL677" s="131"/>
      <c r="CM677" s="131"/>
      <c r="CN677" s="131"/>
      <c r="CO677" s="131"/>
      <c r="CP677" s="131"/>
      <c r="CQ677" s="131"/>
    </row>
    <row r="678" spans="1:95" ht="15" hidden="1" outlineLevel="2" x14ac:dyDescent="0.25">
      <c r="A678" s="131"/>
      <c r="B678" s="131" t="s">
        <v>9</v>
      </c>
      <c r="C678" s="161">
        <f>Current_year_in</f>
        <v>2017</v>
      </c>
      <c r="D678" s="3" t="s">
        <v>481</v>
      </c>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c r="AO678" s="131"/>
      <c r="AP678" s="131"/>
      <c r="AQ678" s="131"/>
      <c r="AR678" s="131"/>
      <c r="AS678" s="131"/>
      <c r="AT678" s="131"/>
      <c r="AU678" s="131"/>
      <c r="AV678" s="131"/>
      <c r="AW678" s="131"/>
      <c r="AX678" s="131"/>
      <c r="AY678" s="131"/>
      <c r="AZ678" s="131"/>
      <c r="BA678" s="131"/>
      <c r="BB678" s="131"/>
      <c r="BC678" s="131"/>
      <c r="BD678" s="131"/>
      <c r="BE678" s="131"/>
      <c r="BF678" s="131"/>
      <c r="BG678" s="131"/>
      <c r="BH678" s="131"/>
      <c r="BI678" s="131"/>
      <c r="BJ678" s="131"/>
      <c r="BK678" s="131"/>
      <c r="BL678" s="131"/>
      <c r="BM678" s="131"/>
      <c r="BN678" s="131"/>
      <c r="BO678" s="131"/>
      <c r="BP678" s="131"/>
      <c r="BQ678" s="131"/>
      <c r="BR678" s="131"/>
      <c r="BS678" s="131"/>
      <c r="BT678" s="131"/>
      <c r="BU678" s="131"/>
      <c r="BV678" s="131"/>
      <c r="BW678" s="131"/>
      <c r="BX678" s="131"/>
      <c r="BY678" s="131"/>
      <c r="BZ678" s="131"/>
      <c r="CA678" s="131"/>
      <c r="CB678" s="131"/>
      <c r="CC678" s="131"/>
      <c r="CD678" s="131"/>
      <c r="CE678" s="131"/>
      <c r="CF678" s="131"/>
      <c r="CG678" s="131"/>
      <c r="CH678" s="131"/>
      <c r="CI678" s="131"/>
      <c r="CJ678" s="131"/>
      <c r="CK678" s="131"/>
      <c r="CL678" s="131"/>
      <c r="CM678" s="131"/>
      <c r="CN678" s="131"/>
      <c r="CO678" s="131"/>
      <c r="CP678" s="131"/>
      <c r="CQ678" s="131"/>
    </row>
    <row r="679" spans="1:95" ht="15" hidden="1" outlineLevel="2" x14ac:dyDescent="0.25">
      <c r="A679" s="131"/>
      <c r="B679" s="131" t="s">
        <v>76</v>
      </c>
      <c r="C679" s="132">
        <f>PV_base_year_in</f>
        <v>2010</v>
      </c>
      <c r="D679" s="3" t="s">
        <v>482</v>
      </c>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1"/>
      <c r="AY679" s="131"/>
      <c r="AZ679" s="131"/>
      <c r="BA679" s="131"/>
      <c r="BB679" s="131"/>
      <c r="BC679" s="131"/>
      <c r="BD679" s="131"/>
      <c r="BE679" s="131"/>
      <c r="BF679" s="131"/>
      <c r="BG679" s="131"/>
      <c r="BH679" s="131"/>
      <c r="BI679" s="131"/>
      <c r="BJ679" s="131"/>
      <c r="BK679" s="131"/>
      <c r="BL679" s="131"/>
      <c r="BM679" s="131"/>
      <c r="BN679" s="131"/>
      <c r="BO679" s="131"/>
      <c r="BP679" s="131"/>
      <c r="BQ679" s="131"/>
      <c r="BR679" s="131"/>
      <c r="BS679" s="131"/>
      <c r="BT679" s="131"/>
      <c r="BU679" s="131"/>
      <c r="BV679" s="131"/>
      <c r="BW679" s="131"/>
      <c r="BX679" s="131"/>
      <c r="BY679" s="131"/>
      <c r="BZ679" s="131"/>
      <c r="CA679" s="131"/>
      <c r="CB679" s="131"/>
      <c r="CC679" s="131"/>
      <c r="CD679" s="131"/>
      <c r="CE679" s="131"/>
      <c r="CF679" s="131"/>
      <c r="CG679" s="131"/>
      <c r="CH679" s="131"/>
      <c r="CI679" s="131"/>
      <c r="CJ679" s="131"/>
      <c r="CK679" s="131"/>
      <c r="CL679" s="131"/>
      <c r="CM679" s="131"/>
      <c r="CN679" s="131"/>
      <c r="CO679" s="131"/>
      <c r="CP679" s="131"/>
      <c r="CQ679" s="131"/>
    </row>
    <row r="680" spans="1:95" ht="15" hidden="1" outlineLevel="2" x14ac:dyDescent="0.25">
      <c r="A680" s="131"/>
      <c r="B680" s="131" t="s">
        <v>80</v>
      </c>
      <c r="C680" s="132">
        <f>Discount_period_1_in</f>
        <v>30</v>
      </c>
      <c r="D680" s="15" t="s">
        <v>483</v>
      </c>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c r="AO680" s="131"/>
      <c r="AP680" s="131"/>
      <c r="AQ680" s="131"/>
      <c r="AR680" s="131"/>
      <c r="AS680" s="131"/>
      <c r="AT680" s="131"/>
      <c r="AU680" s="131"/>
      <c r="AV680" s="131"/>
      <c r="AW680" s="131"/>
      <c r="AX680" s="131"/>
      <c r="AY680" s="131"/>
      <c r="AZ680" s="131"/>
      <c r="BA680" s="131"/>
      <c r="BB680" s="131"/>
      <c r="BC680" s="131"/>
      <c r="BD680" s="131"/>
      <c r="BE680" s="131"/>
      <c r="BF680" s="131"/>
      <c r="BG680" s="131"/>
      <c r="BH680" s="131"/>
      <c r="BI680" s="131"/>
      <c r="BJ680" s="131"/>
      <c r="BK680" s="131"/>
      <c r="BL680" s="131"/>
      <c r="BM680" s="131"/>
      <c r="BN680" s="131"/>
      <c r="BO680" s="131"/>
      <c r="BP680" s="131"/>
      <c r="BQ680" s="131"/>
      <c r="BR680" s="131"/>
      <c r="BS680" s="131"/>
      <c r="BT680" s="131"/>
      <c r="BU680" s="131"/>
      <c r="BV680" s="131"/>
      <c r="BW680" s="131"/>
      <c r="BX680" s="131"/>
      <c r="BY680" s="131"/>
      <c r="BZ680" s="131"/>
      <c r="CA680" s="131"/>
      <c r="CB680" s="131"/>
      <c r="CC680" s="131"/>
      <c r="CD680" s="131"/>
      <c r="CE680" s="131"/>
      <c r="CF680" s="131"/>
      <c r="CG680" s="131"/>
      <c r="CH680" s="131"/>
      <c r="CI680" s="131"/>
      <c r="CJ680" s="131"/>
      <c r="CK680" s="131"/>
      <c r="CL680" s="131"/>
      <c r="CM680" s="131"/>
      <c r="CN680" s="131"/>
      <c r="CO680" s="131"/>
      <c r="CP680" s="131"/>
      <c r="CQ680" s="131"/>
    </row>
    <row r="681" spans="1:95" ht="15" hidden="1" outlineLevel="2" x14ac:dyDescent="0.25">
      <c r="A681" s="131"/>
      <c r="B681" s="131" t="s">
        <v>82</v>
      </c>
      <c r="C681" s="132">
        <f>Discount_period_2_in</f>
        <v>75</v>
      </c>
      <c r="D681" s="15" t="s">
        <v>484</v>
      </c>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c r="AO681" s="131"/>
      <c r="AP681" s="131"/>
      <c r="AQ681" s="131"/>
      <c r="AR681" s="131"/>
      <c r="AS681" s="131"/>
      <c r="AT681" s="131"/>
      <c r="AU681" s="131"/>
      <c r="AV681" s="131"/>
      <c r="AW681" s="131"/>
      <c r="AX681" s="131"/>
      <c r="AY681" s="131"/>
      <c r="AZ681" s="131"/>
      <c r="BA681" s="131"/>
      <c r="BB681" s="131"/>
      <c r="BC681" s="131"/>
      <c r="BD681" s="131"/>
      <c r="BE681" s="131"/>
      <c r="BF681" s="131"/>
      <c r="BG681" s="131"/>
      <c r="BH681" s="131"/>
      <c r="BI681" s="131"/>
      <c r="BJ681" s="131"/>
      <c r="BK681" s="131"/>
      <c r="BL681" s="131"/>
      <c r="BM681" s="131"/>
      <c r="BN681" s="131"/>
      <c r="BO681" s="131"/>
      <c r="BP681" s="131"/>
      <c r="BQ681" s="131"/>
      <c r="BR681" s="131"/>
      <c r="BS681" s="131"/>
      <c r="BT681" s="131"/>
      <c r="BU681" s="131"/>
      <c r="BV681" s="131"/>
      <c r="BW681" s="131"/>
      <c r="BX681" s="131"/>
      <c r="BY681" s="131"/>
      <c r="BZ681" s="131"/>
      <c r="CA681" s="131"/>
      <c r="CB681" s="131"/>
      <c r="CC681" s="131"/>
      <c r="CD681" s="131"/>
      <c r="CE681" s="131"/>
      <c r="CF681" s="131"/>
      <c r="CG681" s="131"/>
      <c r="CH681" s="131"/>
      <c r="CI681" s="131"/>
      <c r="CJ681" s="131"/>
      <c r="CK681" s="131"/>
      <c r="CL681" s="131"/>
      <c r="CM681" s="131"/>
      <c r="CN681" s="131"/>
      <c r="CO681" s="131"/>
      <c r="CP681" s="131"/>
      <c r="CQ681" s="131"/>
    </row>
    <row r="682" spans="1:95" ht="15" hidden="1" outlineLevel="2" x14ac:dyDescent="0.25">
      <c r="A682" s="131"/>
      <c r="B682" s="131" t="s">
        <v>84</v>
      </c>
      <c r="C682" s="132">
        <f>Discount_period_3_in</f>
        <v>125</v>
      </c>
      <c r="D682" s="15" t="s">
        <v>485</v>
      </c>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c r="AO682" s="131"/>
      <c r="AP682" s="131"/>
      <c r="AQ682" s="131"/>
      <c r="AR682" s="131"/>
      <c r="AS682" s="131"/>
      <c r="AT682" s="131"/>
      <c r="AU682" s="131"/>
      <c r="AV682" s="131"/>
      <c r="AW682" s="131"/>
      <c r="AX682" s="131"/>
      <c r="AY682" s="131"/>
      <c r="AZ682" s="131"/>
      <c r="BA682" s="131"/>
      <c r="BB682" s="131"/>
      <c r="BC682" s="131"/>
      <c r="BD682" s="131"/>
      <c r="BE682" s="131"/>
      <c r="BF682" s="131"/>
      <c r="BG682" s="131"/>
      <c r="BH682" s="131"/>
      <c r="BI682" s="131"/>
      <c r="BJ682" s="131"/>
      <c r="BK682" s="131"/>
      <c r="BL682" s="131"/>
      <c r="BM682" s="131"/>
      <c r="BN682" s="131"/>
      <c r="BO682" s="131"/>
      <c r="BP682" s="131"/>
      <c r="BQ682" s="131"/>
      <c r="BR682" s="131"/>
      <c r="BS682" s="131"/>
      <c r="BT682" s="131"/>
      <c r="BU682" s="131"/>
      <c r="BV682" s="131"/>
      <c r="BW682" s="131"/>
      <c r="BX682" s="131"/>
      <c r="BY682" s="131"/>
      <c r="BZ682" s="131"/>
      <c r="CA682" s="131"/>
      <c r="CB682" s="131"/>
      <c r="CC682" s="131"/>
      <c r="CD682" s="131"/>
      <c r="CE682" s="131"/>
      <c r="CF682" s="131"/>
      <c r="CG682" s="131"/>
      <c r="CH682" s="131"/>
      <c r="CI682" s="131"/>
      <c r="CJ682" s="131"/>
      <c r="CK682" s="131"/>
      <c r="CL682" s="131"/>
      <c r="CM682" s="131"/>
      <c r="CN682" s="131"/>
      <c r="CO682" s="131"/>
      <c r="CP682" s="131"/>
      <c r="CQ682" s="131"/>
    </row>
    <row r="683" spans="1:95" ht="15" hidden="1" outlineLevel="2" x14ac:dyDescent="0.25">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c r="AO683" s="131"/>
      <c r="AP683" s="131"/>
      <c r="AQ683" s="131"/>
      <c r="AR683" s="131"/>
      <c r="AS683" s="131"/>
      <c r="AT683" s="131"/>
      <c r="AU683" s="131"/>
      <c r="AV683" s="131"/>
      <c r="AW683" s="131"/>
      <c r="AX683" s="131"/>
      <c r="AY683" s="131"/>
      <c r="AZ683" s="131"/>
      <c r="BA683" s="131"/>
      <c r="BB683" s="131"/>
      <c r="BC683" s="131"/>
      <c r="BD683" s="131"/>
      <c r="BE683" s="131"/>
      <c r="BF683" s="131"/>
      <c r="BG683" s="131"/>
      <c r="BH683" s="131"/>
      <c r="BI683" s="131"/>
      <c r="BJ683" s="131"/>
      <c r="BK683" s="131"/>
      <c r="BL683" s="131"/>
      <c r="BM683" s="131"/>
      <c r="BN683" s="131"/>
      <c r="BO683" s="131"/>
      <c r="BP683" s="131"/>
      <c r="BQ683" s="131"/>
      <c r="BR683" s="131"/>
      <c r="BS683" s="131"/>
      <c r="BT683" s="131"/>
      <c r="BU683" s="131"/>
      <c r="BV683" s="131"/>
      <c r="BW683" s="131"/>
      <c r="BX683" s="131"/>
      <c r="BY683" s="131"/>
      <c r="BZ683" s="131"/>
      <c r="CA683" s="131"/>
      <c r="CB683" s="131"/>
      <c r="CC683" s="131"/>
      <c r="CD683" s="131"/>
      <c r="CE683" s="131"/>
      <c r="CF683" s="131"/>
      <c r="CG683" s="131"/>
      <c r="CH683" s="131"/>
      <c r="CI683" s="131"/>
      <c r="CJ683" s="131"/>
      <c r="CK683" s="131"/>
      <c r="CL683" s="131"/>
      <c r="CM683" s="131"/>
      <c r="CN683" s="131"/>
      <c r="CO683" s="131"/>
      <c r="CP683" s="131"/>
      <c r="CQ683" s="131"/>
    </row>
    <row r="684" spans="1:95" ht="15" hidden="1" outlineLevel="2" x14ac:dyDescent="0.25">
      <c r="A684" s="131"/>
      <c r="B684" s="131"/>
      <c r="C684" s="131"/>
      <c r="D684" s="16">
        <v>2010</v>
      </c>
      <c r="E684" s="16">
        <v>2011</v>
      </c>
      <c r="F684" s="16">
        <v>2012</v>
      </c>
      <c r="G684" s="16">
        <v>2013</v>
      </c>
      <c r="H684" s="16">
        <v>2014</v>
      </c>
      <c r="I684" s="16">
        <v>2015</v>
      </c>
      <c r="J684" s="16">
        <v>2016</v>
      </c>
      <c r="K684" s="16">
        <v>2017</v>
      </c>
      <c r="L684" s="16">
        <v>2018</v>
      </c>
      <c r="M684" s="16">
        <v>2019</v>
      </c>
      <c r="N684" s="16">
        <v>2020</v>
      </c>
      <c r="O684" s="16">
        <v>2021</v>
      </c>
      <c r="P684" s="16">
        <v>2022</v>
      </c>
      <c r="Q684" s="16">
        <v>2023</v>
      </c>
      <c r="R684" s="16">
        <v>2024</v>
      </c>
      <c r="S684" s="16">
        <v>2025</v>
      </c>
      <c r="T684" s="16">
        <v>2026</v>
      </c>
      <c r="U684" s="16">
        <v>2027</v>
      </c>
      <c r="V684" s="16">
        <v>2028</v>
      </c>
      <c r="W684" s="16">
        <v>2029</v>
      </c>
      <c r="X684" s="16">
        <v>2030</v>
      </c>
      <c r="Y684" s="16">
        <v>2031</v>
      </c>
      <c r="Z684" s="16">
        <v>2032</v>
      </c>
      <c r="AA684" s="16">
        <v>2033</v>
      </c>
      <c r="AB684" s="16">
        <v>2034</v>
      </c>
      <c r="AC684" s="16">
        <v>2035</v>
      </c>
      <c r="AD684" s="16">
        <v>2036</v>
      </c>
      <c r="AE684" s="16">
        <v>2037</v>
      </c>
      <c r="AF684" s="16">
        <v>2038</v>
      </c>
      <c r="AG684" s="16">
        <v>2039</v>
      </c>
      <c r="AH684" s="16">
        <v>2040</v>
      </c>
      <c r="AI684" s="16">
        <v>2041</v>
      </c>
      <c r="AJ684" s="16">
        <v>2042</v>
      </c>
      <c r="AK684" s="16">
        <v>2043</v>
      </c>
      <c r="AL684" s="16">
        <v>2044</v>
      </c>
      <c r="AM684" s="16">
        <v>2045</v>
      </c>
      <c r="AN684" s="16">
        <v>2046</v>
      </c>
      <c r="AO684" s="16">
        <v>2047</v>
      </c>
      <c r="AP684" s="16">
        <v>2048</v>
      </c>
      <c r="AQ684" s="16">
        <v>2049</v>
      </c>
      <c r="AR684" s="16">
        <v>2050</v>
      </c>
      <c r="AS684" s="16">
        <v>2051</v>
      </c>
      <c r="AT684" s="16">
        <v>2052</v>
      </c>
      <c r="AU684" s="16">
        <v>2053</v>
      </c>
      <c r="AV684" s="16">
        <v>2054</v>
      </c>
      <c r="AW684" s="16">
        <v>2055</v>
      </c>
      <c r="AX684" s="16">
        <v>2056</v>
      </c>
      <c r="AY684" s="16">
        <v>2057</v>
      </c>
      <c r="AZ684" s="16">
        <v>2058</v>
      </c>
      <c r="BA684" s="16">
        <v>2059</v>
      </c>
      <c r="BB684" s="16">
        <v>2060</v>
      </c>
      <c r="BC684" s="16">
        <v>2061</v>
      </c>
      <c r="BD684" s="16">
        <v>2062</v>
      </c>
      <c r="BE684" s="16">
        <v>2063</v>
      </c>
      <c r="BF684" s="16">
        <v>2064</v>
      </c>
      <c r="BG684" s="16">
        <v>2065</v>
      </c>
      <c r="BH684" s="16">
        <v>2066</v>
      </c>
      <c r="BI684" s="16">
        <v>2067</v>
      </c>
      <c r="BJ684" s="16">
        <v>2068</v>
      </c>
      <c r="BK684" s="16">
        <v>2069</v>
      </c>
      <c r="BL684" s="16">
        <v>2070</v>
      </c>
      <c r="BM684" s="16">
        <v>2071</v>
      </c>
      <c r="BN684" s="16">
        <v>2072</v>
      </c>
      <c r="BO684" s="16">
        <v>2073</v>
      </c>
      <c r="BP684" s="16">
        <v>2074</v>
      </c>
      <c r="BQ684" s="16">
        <v>2075</v>
      </c>
      <c r="BR684" s="16">
        <v>2076</v>
      </c>
      <c r="BS684" s="16">
        <v>2077</v>
      </c>
      <c r="BT684" s="16">
        <v>2078</v>
      </c>
      <c r="BU684" s="16">
        <v>2079</v>
      </c>
      <c r="BV684" s="16">
        <v>2080</v>
      </c>
      <c r="BW684" s="16">
        <v>2081</v>
      </c>
      <c r="BX684" s="16">
        <v>2082</v>
      </c>
      <c r="BY684" s="16">
        <v>2083</v>
      </c>
      <c r="BZ684" s="16">
        <v>2084</v>
      </c>
      <c r="CA684" s="16">
        <v>2085</v>
      </c>
      <c r="CB684" s="16">
        <v>2086</v>
      </c>
      <c r="CC684" s="16">
        <v>2087</v>
      </c>
      <c r="CD684" s="16">
        <v>2088</v>
      </c>
      <c r="CE684" s="16">
        <v>2089</v>
      </c>
      <c r="CF684" s="16">
        <v>2090</v>
      </c>
      <c r="CG684" s="16">
        <v>2091</v>
      </c>
      <c r="CH684" s="16">
        <v>2092</v>
      </c>
      <c r="CI684" s="16">
        <v>2093</v>
      </c>
      <c r="CJ684" s="16">
        <v>2094</v>
      </c>
      <c r="CK684" s="16">
        <v>2095</v>
      </c>
      <c r="CL684" s="16">
        <v>2096</v>
      </c>
      <c r="CM684" s="16">
        <v>2097</v>
      </c>
      <c r="CN684" s="16">
        <v>2098</v>
      </c>
      <c r="CO684" s="16">
        <v>2099</v>
      </c>
      <c r="CP684" s="16">
        <v>2100</v>
      </c>
      <c r="CQ684" s="131"/>
    </row>
    <row r="685" spans="1:95" ht="15" hidden="1" outlineLevel="2" x14ac:dyDescent="0.25">
      <c r="A685" s="131"/>
      <c r="B685" s="3" t="s">
        <v>486</v>
      </c>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c r="AO685" s="131"/>
      <c r="AP685" s="131"/>
      <c r="AQ685" s="131"/>
      <c r="AR685" s="131"/>
      <c r="AS685" s="131"/>
      <c r="AT685" s="131"/>
      <c r="AU685" s="131"/>
      <c r="AV685" s="131"/>
      <c r="AW685" s="131"/>
      <c r="AX685" s="131"/>
      <c r="AY685" s="131"/>
      <c r="AZ685" s="131"/>
      <c r="BA685" s="131"/>
      <c r="BB685" s="131"/>
      <c r="BC685" s="131"/>
      <c r="BD685" s="131"/>
      <c r="BE685" s="131"/>
      <c r="BF685" s="131"/>
      <c r="BG685" s="131"/>
      <c r="BH685" s="131"/>
      <c r="BI685" s="131"/>
      <c r="BJ685" s="131"/>
      <c r="BK685" s="131"/>
      <c r="BL685" s="131"/>
      <c r="BM685" s="131"/>
      <c r="BN685" s="131"/>
      <c r="BO685" s="131"/>
      <c r="BP685" s="131"/>
      <c r="BQ685" s="131"/>
      <c r="BR685" s="131"/>
      <c r="BS685" s="131"/>
      <c r="BT685" s="131"/>
      <c r="BU685" s="131"/>
      <c r="BV685" s="131"/>
      <c r="BW685" s="131"/>
      <c r="BX685" s="131"/>
      <c r="BY685" s="131"/>
      <c r="BZ685" s="131"/>
      <c r="CA685" s="131"/>
      <c r="CB685" s="131"/>
      <c r="CC685" s="131"/>
      <c r="CD685" s="131"/>
      <c r="CE685" s="131"/>
      <c r="CF685" s="131"/>
      <c r="CG685" s="131"/>
      <c r="CH685" s="131"/>
      <c r="CI685" s="131"/>
      <c r="CJ685" s="131"/>
      <c r="CK685" s="131"/>
      <c r="CL685" s="131"/>
      <c r="CM685" s="131"/>
      <c r="CN685" s="131"/>
      <c r="CO685" s="131"/>
      <c r="CP685" s="131"/>
      <c r="CQ685" s="131"/>
    </row>
    <row r="686" spans="1:95" ht="15" hidden="1" outlineLevel="2" x14ac:dyDescent="0.25">
      <c r="A686" s="131"/>
      <c r="B686" s="131" t="s">
        <v>487</v>
      </c>
      <c r="C686" s="131"/>
      <c r="D686" s="131">
        <f t="shared" ref="D686:AI686" si="294">AND(year&gt;PV_base_year,year&lt;=(Current_year+Discount_period_1))*1</f>
        <v>0</v>
      </c>
      <c r="E686" s="131">
        <f t="shared" si="294"/>
        <v>1</v>
      </c>
      <c r="F686" s="131">
        <f t="shared" si="294"/>
        <v>1</v>
      </c>
      <c r="G686" s="131">
        <f t="shared" si="294"/>
        <v>1</v>
      </c>
      <c r="H686" s="131">
        <f t="shared" si="294"/>
        <v>1</v>
      </c>
      <c r="I686" s="131">
        <f t="shared" si="294"/>
        <v>1</v>
      </c>
      <c r="J686" s="131">
        <f t="shared" si="294"/>
        <v>1</v>
      </c>
      <c r="K686" s="131">
        <f t="shared" si="294"/>
        <v>1</v>
      </c>
      <c r="L686" s="131">
        <f t="shared" si="294"/>
        <v>1</v>
      </c>
      <c r="M686" s="131">
        <f t="shared" si="294"/>
        <v>1</v>
      </c>
      <c r="N686" s="131">
        <f t="shared" si="294"/>
        <v>1</v>
      </c>
      <c r="O686" s="131">
        <f t="shared" si="294"/>
        <v>1</v>
      </c>
      <c r="P686" s="131">
        <f t="shared" si="294"/>
        <v>1</v>
      </c>
      <c r="Q686" s="131">
        <f t="shared" si="294"/>
        <v>1</v>
      </c>
      <c r="R686" s="131">
        <f t="shared" si="294"/>
        <v>1</v>
      </c>
      <c r="S686" s="131">
        <f t="shared" si="294"/>
        <v>1</v>
      </c>
      <c r="T686" s="131">
        <f t="shared" si="294"/>
        <v>1</v>
      </c>
      <c r="U686" s="131">
        <f t="shared" si="294"/>
        <v>1</v>
      </c>
      <c r="V686" s="131">
        <f t="shared" si="294"/>
        <v>1</v>
      </c>
      <c r="W686" s="131">
        <f t="shared" si="294"/>
        <v>1</v>
      </c>
      <c r="X686" s="131">
        <f t="shared" si="294"/>
        <v>1</v>
      </c>
      <c r="Y686" s="131">
        <f t="shared" si="294"/>
        <v>1</v>
      </c>
      <c r="Z686" s="131">
        <f t="shared" si="294"/>
        <v>1</v>
      </c>
      <c r="AA686" s="131">
        <f t="shared" si="294"/>
        <v>1</v>
      </c>
      <c r="AB686" s="131">
        <f t="shared" si="294"/>
        <v>1</v>
      </c>
      <c r="AC686" s="131">
        <f t="shared" si="294"/>
        <v>1</v>
      </c>
      <c r="AD686" s="131">
        <f t="shared" si="294"/>
        <v>1</v>
      </c>
      <c r="AE686" s="131">
        <f t="shared" si="294"/>
        <v>1</v>
      </c>
      <c r="AF686" s="131">
        <f t="shared" si="294"/>
        <v>1</v>
      </c>
      <c r="AG686" s="131">
        <f t="shared" si="294"/>
        <v>1</v>
      </c>
      <c r="AH686" s="131">
        <f t="shared" si="294"/>
        <v>1</v>
      </c>
      <c r="AI686" s="131">
        <f t="shared" si="294"/>
        <v>1</v>
      </c>
      <c r="AJ686" s="131">
        <f t="shared" ref="AJ686:BO686" si="295">AND(year&gt;PV_base_year,year&lt;=(Current_year+Discount_period_1))*1</f>
        <v>1</v>
      </c>
      <c r="AK686" s="131">
        <f t="shared" si="295"/>
        <v>1</v>
      </c>
      <c r="AL686" s="131">
        <f t="shared" si="295"/>
        <v>1</v>
      </c>
      <c r="AM686" s="131">
        <f t="shared" si="295"/>
        <v>1</v>
      </c>
      <c r="AN686" s="131">
        <f t="shared" si="295"/>
        <v>1</v>
      </c>
      <c r="AO686" s="131">
        <f t="shared" si="295"/>
        <v>1</v>
      </c>
      <c r="AP686" s="131">
        <f t="shared" si="295"/>
        <v>0</v>
      </c>
      <c r="AQ686" s="131">
        <f t="shared" si="295"/>
        <v>0</v>
      </c>
      <c r="AR686" s="131">
        <f t="shared" si="295"/>
        <v>0</v>
      </c>
      <c r="AS686" s="131">
        <f t="shared" si="295"/>
        <v>0</v>
      </c>
      <c r="AT686" s="131">
        <f t="shared" si="295"/>
        <v>0</v>
      </c>
      <c r="AU686" s="131">
        <f t="shared" si="295"/>
        <v>0</v>
      </c>
      <c r="AV686" s="131">
        <f t="shared" si="295"/>
        <v>0</v>
      </c>
      <c r="AW686" s="131">
        <f t="shared" si="295"/>
        <v>0</v>
      </c>
      <c r="AX686" s="131">
        <f t="shared" si="295"/>
        <v>0</v>
      </c>
      <c r="AY686" s="131">
        <f t="shared" si="295"/>
        <v>0</v>
      </c>
      <c r="AZ686" s="131">
        <f t="shared" si="295"/>
        <v>0</v>
      </c>
      <c r="BA686" s="131">
        <f t="shared" si="295"/>
        <v>0</v>
      </c>
      <c r="BB686" s="131">
        <f t="shared" si="295"/>
        <v>0</v>
      </c>
      <c r="BC686" s="131">
        <f t="shared" si="295"/>
        <v>0</v>
      </c>
      <c r="BD686" s="131">
        <f t="shared" si="295"/>
        <v>0</v>
      </c>
      <c r="BE686" s="131">
        <f t="shared" si="295"/>
        <v>0</v>
      </c>
      <c r="BF686" s="131">
        <f t="shared" si="295"/>
        <v>0</v>
      </c>
      <c r="BG686" s="131">
        <f t="shared" si="295"/>
        <v>0</v>
      </c>
      <c r="BH686" s="131">
        <f t="shared" si="295"/>
        <v>0</v>
      </c>
      <c r="BI686" s="131">
        <f t="shared" si="295"/>
        <v>0</v>
      </c>
      <c r="BJ686" s="131">
        <f t="shared" si="295"/>
        <v>0</v>
      </c>
      <c r="BK686" s="131">
        <f t="shared" si="295"/>
        <v>0</v>
      </c>
      <c r="BL686" s="131">
        <f t="shared" si="295"/>
        <v>0</v>
      </c>
      <c r="BM686" s="131">
        <f t="shared" si="295"/>
        <v>0</v>
      </c>
      <c r="BN686" s="131">
        <f t="shared" si="295"/>
        <v>0</v>
      </c>
      <c r="BO686" s="131">
        <f t="shared" si="295"/>
        <v>0</v>
      </c>
      <c r="BP686" s="131">
        <f t="shared" ref="BP686:CP686" si="296">AND(year&gt;PV_base_year,year&lt;=(Current_year+Discount_period_1))*1</f>
        <v>0</v>
      </c>
      <c r="BQ686" s="131">
        <f t="shared" si="296"/>
        <v>0</v>
      </c>
      <c r="BR686" s="131">
        <f t="shared" si="296"/>
        <v>0</v>
      </c>
      <c r="BS686" s="131">
        <f t="shared" si="296"/>
        <v>0</v>
      </c>
      <c r="BT686" s="131">
        <f t="shared" si="296"/>
        <v>0</v>
      </c>
      <c r="BU686" s="131">
        <f t="shared" si="296"/>
        <v>0</v>
      </c>
      <c r="BV686" s="131">
        <f t="shared" si="296"/>
        <v>0</v>
      </c>
      <c r="BW686" s="131">
        <f t="shared" si="296"/>
        <v>0</v>
      </c>
      <c r="BX686" s="131">
        <f t="shared" si="296"/>
        <v>0</v>
      </c>
      <c r="BY686" s="131">
        <f t="shared" si="296"/>
        <v>0</v>
      </c>
      <c r="BZ686" s="131">
        <f t="shared" si="296"/>
        <v>0</v>
      </c>
      <c r="CA686" s="131">
        <f t="shared" si="296"/>
        <v>0</v>
      </c>
      <c r="CB686" s="131">
        <f t="shared" si="296"/>
        <v>0</v>
      </c>
      <c r="CC686" s="131">
        <f t="shared" si="296"/>
        <v>0</v>
      </c>
      <c r="CD686" s="131">
        <f t="shared" si="296"/>
        <v>0</v>
      </c>
      <c r="CE686" s="131">
        <f t="shared" si="296"/>
        <v>0</v>
      </c>
      <c r="CF686" s="131">
        <f t="shared" si="296"/>
        <v>0</v>
      </c>
      <c r="CG686" s="131">
        <f t="shared" si="296"/>
        <v>0</v>
      </c>
      <c r="CH686" s="131">
        <f t="shared" si="296"/>
        <v>0</v>
      </c>
      <c r="CI686" s="131">
        <f t="shared" si="296"/>
        <v>0</v>
      </c>
      <c r="CJ686" s="131">
        <f t="shared" si="296"/>
        <v>0</v>
      </c>
      <c r="CK686" s="131">
        <f t="shared" si="296"/>
        <v>0</v>
      </c>
      <c r="CL686" s="131">
        <f t="shared" si="296"/>
        <v>0</v>
      </c>
      <c r="CM686" s="131">
        <f t="shared" si="296"/>
        <v>0</v>
      </c>
      <c r="CN686" s="131">
        <f t="shared" si="296"/>
        <v>0</v>
      </c>
      <c r="CO686" s="131">
        <f t="shared" si="296"/>
        <v>0</v>
      </c>
      <c r="CP686" s="131">
        <f t="shared" si="296"/>
        <v>0</v>
      </c>
      <c r="CQ686" s="3" t="s">
        <v>488</v>
      </c>
    </row>
    <row r="687" spans="1:95" ht="15" hidden="1" outlineLevel="2" x14ac:dyDescent="0.25">
      <c r="A687" s="131"/>
      <c r="B687" s="131" t="s">
        <v>489</v>
      </c>
      <c r="C687" s="131"/>
      <c r="D687" s="131">
        <f t="shared" ref="D687:AI687" si="297">AND(year&gt;Current_year+Discount_period_1,year&lt;=Current_year+Discount_period_2)*1</f>
        <v>0</v>
      </c>
      <c r="E687" s="131">
        <f t="shared" si="297"/>
        <v>0</v>
      </c>
      <c r="F687" s="131">
        <f t="shared" si="297"/>
        <v>0</v>
      </c>
      <c r="G687" s="131">
        <f t="shared" si="297"/>
        <v>0</v>
      </c>
      <c r="H687" s="131">
        <f t="shared" si="297"/>
        <v>0</v>
      </c>
      <c r="I687" s="131">
        <f t="shared" si="297"/>
        <v>0</v>
      </c>
      <c r="J687" s="131">
        <f t="shared" si="297"/>
        <v>0</v>
      </c>
      <c r="K687" s="131">
        <f t="shared" si="297"/>
        <v>0</v>
      </c>
      <c r="L687" s="131">
        <f t="shared" si="297"/>
        <v>0</v>
      </c>
      <c r="M687" s="131">
        <f t="shared" si="297"/>
        <v>0</v>
      </c>
      <c r="N687" s="131">
        <f t="shared" si="297"/>
        <v>0</v>
      </c>
      <c r="O687" s="131">
        <f t="shared" si="297"/>
        <v>0</v>
      </c>
      <c r="P687" s="131">
        <f t="shared" si="297"/>
        <v>0</v>
      </c>
      <c r="Q687" s="131">
        <f t="shared" si="297"/>
        <v>0</v>
      </c>
      <c r="R687" s="131">
        <f t="shared" si="297"/>
        <v>0</v>
      </c>
      <c r="S687" s="131">
        <f t="shared" si="297"/>
        <v>0</v>
      </c>
      <c r="T687" s="131">
        <f t="shared" si="297"/>
        <v>0</v>
      </c>
      <c r="U687" s="131">
        <f t="shared" si="297"/>
        <v>0</v>
      </c>
      <c r="V687" s="131">
        <f t="shared" si="297"/>
        <v>0</v>
      </c>
      <c r="W687" s="131">
        <f t="shared" si="297"/>
        <v>0</v>
      </c>
      <c r="X687" s="131">
        <f t="shared" si="297"/>
        <v>0</v>
      </c>
      <c r="Y687" s="131">
        <f t="shared" si="297"/>
        <v>0</v>
      </c>
      <c r="Z687" s="131">
        <f t="shared" si="297"/>
        <v>0</v>
      </c>
      <c r="AA687" s="131">
        <f t="shared" si="297"/>
        <v>0</v>
      </c>
      <c r="AB687" s="131">
        <f t="shared" si="297"/>
        <v>0</v>
      </c>
      <c r="AC687" s="131">
        <f t="shared" si="297"/>
        <v>0</v>
      </c>
      <c r="AD687" s="131">
        <f t="shared" si="297"/>
        <v>0</v>
      </c>
      <c r="AE687" s="131">
        <f t="shared" si="297"/>
        <v>0</v>
      </c>
      <c r="AF687" s="131">
        <f t="shared" si="297"/>
        <v>0</v>
      </c>
      <c r="AG687" s="131">
        <f t="shared" si="297"/>
        <v>0</v>
      </c>
      <c r="AH687" s="131">
        <f t="shared" si="297"/>
        <v>0</v>
      </c>
      <c r="AI687" s="131">
        <f t="shared" si="297"/>
        <v>0</v>
      </c>
      <c r="AJ687" s="131">
        <f t="shared" ref="AJ687:BO687" si="298">AND(year&gt;Current_year+Discount_period_1,year&lt;=Current_year+Discount_period_2)*1</f>
        <v>0</v>
      </c>
      <c r="AK687" s="131">
        <f t="shared" si="298"/>
        <v>0</v>
      </c>
      <c r="AL687" s="131">
        <f t="shared" si="298"/>
        <v>0</v>
      </c>
      <c r="AM687" s="131">
        <f t="shared" si="298"/>
        <v>0</v>
      </c>
      <c r="AN687" s="131">
        <f t="shared" si="298"/>
        <v>0</v>
      </c>
      <c r="AO687" s="131">
        <f t="shared" si="298"/>
        <v>0</v>
      </c>
      <c r="AP687" s="131">
        <f t="shared" si="298"/>
        <v>1</v>
      </c>
      <c r="AQ687" s="131">
        <f t="shared" si="298"/>
        <v>1</v>
      </c>
      <c r="AR687" s="131">
        <f t="shared" si="298"/>
        <v>1</v>
      </c>
      <c r="AS687" s="131">
        <f t="shared" si="298"/>
        <v>1</v>
      </c>
      <c r="AT687" s="131">
        <f t="shared" si="298"/>
        <v>1</v>
      </c>
      <c r="AU687" s="131">
        <f t="shared" si="298"/>
        <v>1</v>
      </c>
      <c r="AV687" s="131">
        <f t="shared" si="298"/>
        <v>1</v>
      </c>
      <c r="AW687" s="131">
        <f t="shared" si="298"/>
        <v>1</v>
      </c>
      <c r="AX687" s="131">
        <f t="shared" si="298"/>
        <v>1</v>
      </c>
      <c r="AY687" s="131">
        <f t="shared" si="298"/>
        <v>1</v>
      </c>
      <c r="AZ687" s="131">
        <f t="shared" si="298"/>
        <v>1</v>
      </c>
      <c r="BA687" s="131">
        <f t="shared" si="298"/>
        <v>1</v>
      </c>
      <c r="BB687" s="131">
        <f t="shared" si="298"/>
        <v>1</v>
      </c>
      <c r="BC687" s="131">
        <f t="shared" si="298"/>
        <v>1</v>
      </c>
      <c r="BD687" s="131">
        <f t="shared" si="298"/>
        <v>1</v>
      </c>
      <c r="BE687" s="131">
        <f t="shared" si="298"/>
        <v>1</v>
      </c>
      <c r="BF687" s="131">
        <f t="shared" si="298"/>
        <v>1</v>
      </c>
      <c r="BG687" s="131">
        <f t="shared" si="298"/>
        <v>1</v>
      </c>
      <c r="BH687" s="131">
        <f t="shared" si="298"/>
        <v>1</v>
      </c>
      <c r="BI687" s="131">
        <f t="shared" si="298"/>
        <v>1</v>
      </c>
      <c r="BJ687" s="131">
        <f t="shared" si="298"/>
        <v>1</v>
      </c>
      <c r="BK687" s="131">
        <f t="shared" si="298"/>
        <v>1</v>
      </c>
      <c r="BL687" s="131">
        <f t="shared" si="298"/>
        <v>1</v>
      </c>
      <c r="BM687" s="131">
        <f t="shared" si="298"/>
        <v>1</v>
      </c>
      <c r="BN687" s="131">
        <f t="shared" si="298"/>
        <v>1</v>
      </c>
      <c r="BO687" s="131">
        <f t="shared" si="298"/>
        <v>1</v>
      </c>
      <c r="BP687" s="131">
        <f t="shared" ref="BP687:CP687" si="299">AND(year&gt;Current_year+Discount_period_1,year&lt;=Current_year+Discount_period_2)*1</f>
        <v>1</v>
      </c>
      <c r="BQ687" s="131">
        <f t="shared" si="299"/>
        <v>1</v>
      </c>
      <c r="BR687" s="131">
        <f t="shared" si="299"/>
        <v>1</v>
      </c>
      <c r="BS687" s="131">
        <f t="shared" si="299"/>
        <v>1</v>
      </c>
      <c r="BT687" s="131">
        <f t="shared" si="299"/>
        <v>1</v>
      </c>
      <c r="BU687" s="131">
        <f t="shared" si="299"/>
        <v>1</v>
      </c>
      <c r="BV687" s="131">
        <f t="shared" si="299"/>
        <v>1</v>
      </c>
      <c r="BW687" s="131">
        <f t="shared" si="299"/>
        <v>1</v>
      </c>
      <c r="BX687" s="131">
        <f t="shared" si="299"/>
        <v>1</v>
      </c>
      <c r="BY687" s="131">
        <f t="shared" si="299"/>
        <v>1</v>
      </c>
      <c r="BZ687" s="131">
        <f t="shared" si="299"/>
        <v>1</v>
      </c>
      <c r="CA687" s="131">
        <f t="shared" si="299"/>
        <v>1</v>
      </c>
      <c r="CB687" s="131">
        <f t="shared" si="299"/>
        <v>1</v>
      </c>
      <c r="CC687" s="131">
        <f t="shared" si="299"/>
        <v>1</v>
      </c>
      <c r="CD687" s="131">
        <f t="shared" si="299"/>
        <v>1</v>
      </c>
      <c r="CE687" s="131">
        <f t="shared" si="299"/>
        <v>1</v>
      </c>
      <c r="CF687" s="131">
        <f t="shared" si="299"/>
        <v>1</v>
      </c>
      <c r="CG687" s="131">
        <f t="shared" si="299"/>
        <v>1</v>
      </c>
      <c r="CH687" s="131">
        <f t="shared" si="299"/>
        <v>1</v>
      </c>
      <c r="CI687" s="131">
        <f t="shared" si="299"/>
        <v>0</v>
      </c>
      <c r="CJ687" s="131">
        <f t="shared" si="299"/>
        <v>0</v>
      </c>
      <c r="CK687" s="131">
        <f t="shared" si="299"/>
        <v>0</v>
      </c>
      <c r="CL687" s="131">
        <f t="shared" si="299"/>
        <v>0</v>
      </c>
      <c r="CM687" s="131">
        <f t="shared" si="299"/>
        <v>0</v>
      </c>
      <c r="CN687" s="131">
        <f t="shared" si="299"/>
        <v>0</v>
      </c>
      <c r="CO687" s="131">
        <f t="shared" si="299"/>
        <v>0</v>
      </c>
      <c r="CP687" s="131">
        <f t="shared" si="299"/>
        <v>0</v>
      </c>
      <c r="CQ687" s="3" t="s">
        <v>490</v>
      </c>
    </row>
    <row r="688" spans="1:95" ht="15" hidden="1" outlineLevel="2" x14ac:dyDescent="0.25">
      <c r="A688" s="131"/>
      <c r="B688" s="131" t="s">
        <v>491</v>
      </c>
      <c r="C688" s="131"/>
      <c r="D688" s="131">
        <f t="shared" ref="D688:AI688" si="300">AND(year&gt;Current_year+Discount_period_2,year&lt;=Current_year+Discount_period_3)*1</f>
        <v>0</v>
      </c>
      <c r="E688" s="131">
        <f t="shared" si="300"/>
        <v>0</v>
      </c>
      <c r="F688" s="131">
        <f t="shared" si="300"/>
        <v>0</v>
      </c>
      <c r="G688" s="131">
        <f t="shared" si="300"/>
        <v>0</v>
      </c>
      <c r="H688" s="131">
        <f t="shared" si="300"/>
        <v>0</v>
      </c>
      <c r="I688" s="131">
        <f t="shared" si="300"/>
        <v>0</v>
      </c>
      <c r="J688" s="131">
        <f t="shared" si="300"/>
        <v>0</v>
      </c>
      <c r="K688" s="131">
        <f t="shared" si="300"/>
        <v>0</v>
      </c>
      <c r="L688" s="131">
        <f t="shared" si="300"/>
        <v>0</v>
      </c>
      <c r="M688" s="131">
        <f t="shared" si="300"/>
        <v>0</v>
      </c>
      <c r="N688" s="131">
        <f t="shared" si="300"/>
        <v>0</v>
      </c>
      <c r="O688" s="131">
        <f t="shared" si="300"/>
        <v>0</v>
      </c>
      <c r="P688" s="131">
        <f t="shared" si="300"/>
        <v>0</v>
      </c>
      <c r="Q688" s="131">
        <f t="shared" si="300"/>
        <v>0</v>
      </c>
      <c r="R688" s="131">
        <f t="shared" si="300"/>
        <v>0</v>
      </c>
      <c r="S688" s="131">
        <f t="shared" si="300"/>
        <v>0</v>
      </c>
      <c r="T688" s="131">
        <f t="shared" si="300"/>
        <v>0</v>
      </c>
      <c r="U688" s="131">
        <f t="shared" si="300"/>
        <v>0</v>
      </c>
      <c r="V688" s="131">
        <f t="shared" si="300"/>
        <v>0</v>
      </c>
      <c r="W688" s="131">
        <f t="shared" si="300"/>
        <v>0</v>
      </c>
      <c r="X688" s="131">
        <f t="shared" si="300"/>
        <v>0</v>
      </c>
      <c r="Y688" s="131">
        <f t="shared" si="300"/>
        <v>0</v>
      </c>
      <c r="Z688" s="131">
        <f t="shared" si="300"/>
        <v>0</v>
      </c>
      <c r="AA688" s="131">
        <f t="shared" si="300"/>
        <v>0</v>
      </c>
      <c r="AB688" s="131">
        <f t="shared" si="300"/>
        <v>0</v>
      </c>
      <c r="AC688" s="131">
        <f t="shared" si="300"/>
        <v>0</v>
      </c>
      <c r="AD688" s="131">
        <f t="shared" si="300"/>
        <v>0</v>
      </c>
      <c r="AE688" s="131">
        <f t="shared" si="300"/>
        <v>0</v>
      </c>
      <c r="AF688" s="131">
        <f t="shared" si="300"/>
        <v>0</v>
      </c>
      <c r="AG688" s="131">
        <f t="shared" si="300"/>
        <v>0</v>
      </c>
      <c r="AH688" s="131">
        <f t="shared" si="300"/>
        <v>0</v>
      </c>
      <c r="AI688" s="131">
        <f t="shared" si="300"/>
        <v>0</v>
      </c>
      <c r="AJ688" s="131">
        <f t="shared" ref="AJ688:BO688" si="301">AND(year&gt;Current_year+Discount_period_2,year&lt;=Current_year+Discount_period_3)*1</f>
        <v>0</v>
      </c>
      <c r="AK688" s="131">
        <f t="shared" si="301"/>
        <v>0</v>
      </c>
      <c r="AL688" s="131">
        <f t="shared" si="301"/>
        <v>0</v>
      </c>
      <c r="AM688" s="131">
        <f t="shared" si="301"/>
        <v>0</v>
      </c>
      <c r="AN688" s="131">
        <f t="shared" si="301"/>
        <v>0</v>
      </c>
      <c r="AO688" s="131">
        <f t="shared" si="301"/>
        <v>0</v>
      </c>
      <c r="AP688" s="131">
        <f t="shared" si="301"/>
        <v>0</v>
      </c>
      <c r="AQ688" s="131">
        <f t="shared" si="301"/>
        <v>0</v>
      </c>
      <c r="AR688" s="131">
        <f t="shared" si="301"/>
        <v>0</v>
      </c>
      <c r="AS688" s="131">
        <f t="shared" si="301"/>
        <v>0</v>
      </c>
      <c r="AT688" s="131">
        <f t="shared" si="301"/>
        <v>0</v>
      </c>
      <c r="AU688" s="131">
        <f t="shared" si="301"/>
        <v>0</v>
      </c>
      <c r="AV688" s="131">
        <f t="shared" si="301"/>
        <v>0</v>
      </c>
      <c r="AW688" s="131">
        <f t="shared" si="301"/>
        <v>0</v>
      </c>
      <c r="AX688" s="131">
        <f t="shared" si="301"/>
        <v>0</v>
      </c>
      <c r="AY688" s="131">
        <f t="shared" si="301"/>
        <v>0</v>
      </c>
      <c r="AZ688" s="131">
        <f t="shared" si="301"/>
        <v>0</v>
      </c>
      <c r="BA688" s="131">
        <f t="shared" si="301"/>
        <v>0</v>
      </c>
      <c r="BB688" s="131">
        <f t="shared" si="301"/>
        <v>0</v>
      </c>
      <c r="BC688" s="131">
        <f t="shared" si="301"/>
        <v>0</v>
      </c>
      <c r="BD688" s="131">
        <f t="shared" si="301"/>
        <v>0</v>
      </c>
      <c r="BE688" s="131">
        <f t="shared" si="301"/>
        <v>0</v>
      </c>
      <c r="BF688" s="131">
        <f t="shared" si="301"/>
        <v>0</v>
      </c>
      <c r="BG688" s="131">
        <f t="shared" si="301"/>
        <v>0</v>
      </c>
      <c r="BH688" s="131">
        <f t="shared" si="301"/>
        <v>0</v>
      </c>
      <c r="BI688" s="131">
        <f t="shared" si="301"/>
        <v>0</v>
      </c>
      <c r="BJ688" s="131">
        <f t="shared" si="301"/>
        <v>0</v>
      </c>
      <c r="BK688" s="131">
        <f t="shared" si="301"/>
        <v>0</v>
      </c>
      <c r="BL688" s="131">
        <f t="shared" si="301"/>
        <v>0</v>
      </c>
      <c r="BM688" s="131">
        <f t="shared" si="301"/>
        <v>0</v>
      </c>
      <c r="BN688" s="131">
        <f t="shared" si="301"/>
        <v>0</v>
      </c>
      <c r="BO688" s="131">
        <f t="shared" si="301"/>
        <v>0</v>
      </c>
      <c r="BP688" s="131">
        <f t="shared" ref="BP688:CP688" si="302">AND(year&gt;Current_year+Discount_period_2,year&lt;=Current_year+Discount_period_3)*1</f>
        <v>0</v>
      </c>
      <c r="BQ688" s="131">
        <f t="shared" si="302"/>
        <v>0</v>
      </c>
      <c r="BR688" s="131">
        <f t="shared" si="302"/>
        <v>0</v>
      </c>
      <c r="BS688" s="131">
        <f t="shared" si="302"/>
        <v>0</v>
      </c>
      <c r="BT688" s="131">
        <f t="shared" si="302"/>
        <v>0</v>
      </c>
      <c r="BU688" s="131">
        <f t="shared" si="302"/>
        <v>0</v>
      </c>
      <c r="BV688" s="131">
        <f t="shared" si="302"/>
        <v>0</v>
      </c>
      <c r="BW688" s="131">
        <f t="shared" si="302"/>
        <v>0</v>
      </c>
      <c r="BX688" s="131">
        <f t="shared" si="302"/>
        <v>0</v>
      </c>
      <c r="BY688" s="131">
        <f t="shared" si="302"/>
        <v>0</v>
      </c>
      <c r="BZ688" s="131">
        <f t="shared" si="302"/>
        <v>0</v>
      </c>
      <c r="CA688" s="131">
        <f t="shared" si="302"/>
        <v>0</v>
      </c>
      <c r="CB688" s="131">
        <f t="shared" si="302"/>
        <v>0</v>
      </c>
      <c r="CC688" s="131">
        <f t="shared" si="302"/>
        <v>0</v>
      </c>
      <c r="CD688" s="131">
        <f t="shared" si="302"/>
        <v>0</v>
      </c>
      <c r="CE688" s="131">
        <f t="shared" si="302"/>
        <v>0</v>
      </c>
      <c r="CF688" s="131">
        <f t="shared" si="302"/>
        <v>0</v>
      </c>
      <c r="CG688" s="131">
        <f t="shared" si="302"/>
        <v>0</v>
      </c>
      <c r="CH688" s="131">
        <f t="shared" si="302"/>
        <v>0</v>
      </c>
      <c r="CI688" s="131">
        <f t="shared" si="302"/>
        <v>1</v>
      </c>
      <c r="CJ688" s="131">
        <f t="shared" si="302"/>
        <v>1</v>
      </c>
      <c r="CK688" s="131">
        <f t="shared" si="302"/>
        <v>1</v>
      </c>
      <c r="CL688" s="131">
        <f t="shared" si="302"/>
        <v>1</v>
      </c>
      <c r="CM688" s="131">
        <f t="shared" si="302"/>
        <v>1</v>
      </c>
      <c r="CN688" s="131">
        <f t="shared" si="302"/>
        <v>1</v>
      </c>
      <c r="CO688" s="131">
        <f t="shared" si="302"/>
        <v>1</v>
      </c>
      <c r="CP688" s="131">
        <f t="shared" si="302"/>
        <v>1</v>
      </c>
      <c r="CQ688" s="3" t="s">
        <v>492</v>
      </c>
    </row>
    <row r="689" spans="1:95" ht="15" hidden="1" outlineLevel="2" x14ac:dyDescent="0.25">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c r="AO689" s="131"/>
      <c r="AP689" s="131"/>
      <c r="AQ689" s="131"/>
      <c r="AR689" s="131"/>
      <c r="AS689" s="131"/>
      <c r="AT689" s="131"/>
      <c r="AU689" s="131"/>
      <c r="AV689" s="131"/>
      <c r="AW689" s="131"/>
      <c r="AX689" s="131"/>
      <c r="AY689" s="131"/>
      <c r="AZ689" s="131"/>
      <c r="BA689" s="131"/>
      <c r="BB689" s="131"/>
      <c r="BC689" s="131"/>
      <c r="BD689" s="131"/>
      <c r="BE689" s="131"/>
      <c r="BF689" s="131"/>
      <c r="BG689" s="131"/>
      <c r="BH689" s="131"/>
      <c r="BI689" s="131"/>
      <c r="BJ689" s="131"/>
      <c r="BK689" s="131"/>
      <c r="BL689" s="131"/>
      <c r="BM689" s="131"/>
      <c r="BN689" s="131"/>
      <c r="BO689" s="131"/>
      <c r="BP689" s="131"/>
      <c r="BQ689" s="131"/>
      <c r="BR689" s="131"/>
      <c r="BS689" s="131"/>
      <c r="BT689" s="131"/>
      <c r="BU689" s="131"/>
      <c r="BV689" s="131"/>
      <c r="BW689" s="131"/>
      <c r="BX689" s="131"/>
      <c r="BY689" s="131"/>
      <c r="BZ689" s="131"/>
      <c r="CA689" s="131"/>
      <c r="CB689" s="131"/>
      <c r="CC689" s="131"/>
      <c r="CD689" s="131"/>
      <c r="CE689" s="131"/>
      <c r="CF689" s="131"/>
      <c r="CG689" s="131"/>
      <c r="CH689" s="131"/>
      <c r="CI689" s="131"/>
      <c r="CJ689" s="131"/>
      <c r="CK689" s="131"/>
      <c r="CL689" s="131"/>
      <c r="CM689" s="131"/>
      <c r="CN689" s="131"/>
      <c r="CO689" s="131"/>
      <c r="CP689" s="131"/>
      <c r="CQ689" s="131"/>
    </row>
    <row r="690" spans="1:95" s="5" customFormat="1" ht="15.75" hidden="1" outlineLevel="2" x14ac:dyDescent="0.25">
      <c r="B690" s="5" t="s">
        <v>493</v>
      </c>
    </row>
    <row r="691" spans="1:95" s="25" customFormat="1" ht="15.75" hidden="1" outlineLevel="2"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27"/>
      <c r="BQ691" s="27"/>
      <c r="BR691" s="27"/>
      <c r="BS691" s="27"/>
      <c r="BT691" s="27"/>
      <c r="BU691" s="27"/>
      <c r="BV691" s="27"/>
      <c r="BW691" s="27"/>
      <c r="BX691" s="27"/>
      <c r="BY691" s="27"/>
      <c r="BZ691" s="27"/>
      <c r="CA691" s="27"/>
      <c r="CB691" s="27"/>
      <c r="CC691" s="27"/>
      <c r="CD691" s="27"/>
      <c r="CE691" s="27"/>
      <c r="CF691" s="27"/>
      <c r="CG691" s="27"/>
      <c r="CH691" s="27"/>
      <c r="CI691" s="27"/>
      <c r="CJ691" s="27"/>
      <c r="CK691" s="27"/>
      <c r="CL691" s="27"/>
      <c r="CM691" s="27"/>
      <c r="CN691" s="27"/>
      <c r="CO691" s="27"/>
      <c r="CP691" s="27"/>
      <c r="CQ691" s="27"/>
    </row>
    <row r="692" spans="1:95" ht="15" hidden="1" outlineLevel="2" x14ac:dyDescent="0.25">
      <c r="A692" s="131"/>
      <c r="B692" s="131" t="s">
        <v>86</v>
      </c>
      <c r="C692" s="162">
        <f>Discount_rate_1_in</f>
        <v>3.5000000000000003E-2</v>
      </c>
      <c r="D692" s="15" t="s">
        <v>494</v>
      </c>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c r="AO692" s="131"/>
      <c r="AP692" s="131"/>
      <c r="AQ692" s="131"/>
      <c r="AR692" s="131"/>
      <c r="AS692" s="131"/>
      <c r="AT692" s="131"/>
      <c r="AU692" s="131"/>
      <c r="AV692" s="131"/>
      <c r="AW692" s="131"/>
      <c r="AX692" s="131"/>
      <c r="AY692" s="131"/>
      <c r="AZ692" s="131"/>
      <c r="BA692" s="131"/>
      <c r="BB692" s="131"/>
      <c r="BC692" s="131"/>
      <c r="BD692" s="131"/>
      <c r="BE692" s="131"/>
      <c r="BF692" s="131"/>
      <c r="BG692" s="131"/>
      <c r="BH692" s="131"/>
      <c r="BI692" s="131"/>
      <c r="BJ692" s="131"/>
      <c r="BK692" s="131"/>
      <c r="BL692" s="131"/>
      <c r="BM692" s="131"/>
      <c r="BN692" s="131"/>
      <c r="BO692" s="131"/>
      <c r="BP692" s="131"/>
      <c r="BQ692" s="131"/>
      <c r="BR692" s="131"/>
      <c r="BS692" s="131"/>
      <c r="BT692" s="131"/>
      <c r="BU692" s="131"/>
      <c r="BV692" s="131"/>
      <c r="BW692" s="131"/>
      <c r="BX692" s="131"/>
      <c r="BY692" s="131"/>
      <c r="BZ692" s="131"/>
      <c r="CA692" s="131"/>
      <c r="CB692" s="131"/>
      <c r="CC692" s="131"/>
      <c r="CD692" s="131"/>
      <c r="CE692" s="131"/>
      <c r="CF692" s="131"/>
      <c r="CG692" s="131"/>
      <c r="CH692" s="131"/>
      <c r="CI692" s="131"/>
      <c r="CJ692" s="131"/>
      <c r="CK692" s="131"/>
      <c r="CL692" s="131"/>
      <c r="CM692" s="131"/>
      <c r="CN692" s="131"/>
      <c r="CO692" s="131"/>
      <c r="CP692" s="131"/>
      <c r="CQ692" s="131"/>
    </row>
    <row r="693" spans="1:95" ht="15" hidden="1" outlineLevel="2" x14ac:dyDescent="0.25">
      <c r="A693" s="131"/>
      <c r="B693" s="131" t="s">
        <v>88</v>
      </c>
      <c r="C693" s="162">
        <f>Discount_rate_2_in</f>
        <v>0.03</v>
      </c>
      <c r="D693" s="15" t="s">
        <v>495</v>
      </c>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c r="AO693" s="131"/>
      <c r="AP693" s="131"/>
      <c r="AQ693" s="131"/>
      <c r="AR693" s="131"/>
      <c r="AS693" s="131"/>
      <c r="AT693" s="131"/>
      <c r="AU693" s="131"/>
      <c r="AV693" s="131"/>
      <c r="AW693" s="131"/>
      <c r="AX693" s="131"/>
      <c r="AY693" s="131"/>
      <c r="AZ693" s="131"/>
      <c r="BA693" s="131"/>
      <c r="BB693" s="131"/>
      <c r="BC693" s="131"/>
      <c r="BD693" s="131"/>
      <c r="BE693" s="131"/>
      <c r="BF693" s="131"/>
      <c r="BG693" s="131"/>
      <c r="BH693" s="131"/>
      <c r="BI693" s="131"/>
      <c r="BJ693" s="131"/>
      <c r="BK693" s="131"/>
      <c r="BL693" s="131"/>
      <c r="BM693" s="131"/>
      <c r="BN693" s="131"/>
      <c r="BO693" s="131"/>
      <c r="BP693" s="131"/>
      <c r="BQ693" s="131"/>
      <c r="BR693" s="131"/>
      <c r="BS693" s="131"/>
      <c r="BT693" s="131"/>
      <c r="BU693" s="131"/>
      <c r="BV693" s="131"/>
      <c r="BW693" s="131"/>
      <c r="BX693" s="131"/>
      <c r="BY693" s="131"/>
      <c r="BZ693" s="131"/>
      <c r="CA693" s="131"/>
      <c r="CB693" s="131"/>
      <c r="CC693" s="131"/>
      <c r="CD693" s="131"/>
      <c r="CE693" s="131"/>
      <c r="CF693" s="131"/>
      <c r="CG693" s="131"/>
      <c r="CH693" s="131"/>
      <c r="CI693" s="131"/>
      <c r="CJ693" s="131"/>
      <c r="CK693" s="131"/>
      <c r="CL693" s="131"/>
      <c r="CM693" s="131"/>
      <c r="CN693" s="131"/>
      <c r="CO693" s="131"/>
      <c r="CP693" s="131"/>
      <c r="CQ693" s="131"/>
    </row>
    <row r="694" spans="1:95" ht="15" hidden="1" outlineLevel="2" x14ac:dyDescent="0.25">
      <c r="A694" s="131"/>
      <c r="B694" s="131" t="s">
        <v>90</v>
      </c>
      <c r="C694" s="162">
        <f>Discount_rate_3_in</f>
        <v>2.5000000000000001E-2</v>
      </c>
      <c r="D694" s="15" t="s">
        <v>496</v>
      </c>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c r="AO694" s="131"/>
      <c r="AP694" s="131"/>
      <c r="AQ694" s="131"/>
      <c r="AR694" s="131"/>
      <c r="AS694" s="131"/>
      <c r="AT694" s="131"/>
      <c r="AU694" s="131"/>
      <c r="AV694" s="131"/>
      <c r="AW694" s="131"/>
      <c r="AX694" s="131"/>
      <c r="AY694" s="131"/>
      <c r="AZ694" s="131"/>
      <c r="BA694" s="131"/>
      <c r="BB694" s="131"/>
      <c r="BC694" s="131"/>
      <c r="BD694" s="131"/>
      <c r="BE694" s="131"/>
      <c r="BF694" s="131"/>
      <c r="BG694" s="131"/>
      <c r="BH694" s="131"/>
      <c r="BI694" s="131"/>
      <c r="BJ694" s="131"/>
      <c r="BK694" s="131"/>
      <c r="BL694" s="131"/>
      <c r="BM694" s="131"/>
      <c r="BN694" s="131"/>
      <c r="BO694" s="131"/>
      <c r="BP694" s="131"/>
      <c r="BQ694" s="131"/>
      <c r="BR694" s="131"/>
      <c r="BS694" s="131"/>
      <c r="BT694" s="131"/>
      <c r="BU694" s="131"/>
      <c r="BV694" s="131"/>
      <c r="BW694" s="131"/>
      <c r="BX694" s="131"/>
      <c r="BY694" s="131"/>
      <c r="BZ694" s="131"/>
      <c r="CA694" s="131"/>
      <c r="CB694" s="131"/>
      <c r="CC694" s="131"/>
      <c r="CD694" s="131"/>
      <c r="CE694" s="131"/>
      <c r="CF694" s="131"/>
      <c r="CG694" s="131"/>
      <c r="CH694" s="131"/>
      <c r="CI694" s="131"/>
      <c r="CJ694" s="131"/>
      <c r="CK694" s="131"/>
      <c r="CL694" s="131"/>
      <c r="CM694" s="131"/>
      <c r="CN694" s="131"/>
      <c r="CO694" s="131"/>
      <c r="CP694" s="131"/>
      <c r="CQ694" s="131"/>
    </row>
    <row r="695" spans="1:95" ht="15" hidden="1" outlineLevel="2" x14ac:dyDescent="0.25">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c r="AO695" s="131"/>
      <c r="AP695" s="131"/>
      <c r="AQ695" s="131"/>
      <c r="AR695" s="131"/>
      <c r="AS695" s="131"/>
      <c r="AT695" s="131"/>
      <c r="AU695" s="131"/>
      <c r="AV695" s="131"/>
      <c r="AW695" s="131"/>
      <c r="AX695" s="131"/>
      <c r="AY695" s="131"/>
      <c r="AZ695" s="131"/>
      <c r="BA695" s="131"/>
      <c r="BB695" s="131"/>
      <c r="BC695" s="131"/>
      <c r="BD695" s="131"/>
      <c r="BE695" s="131"/>
      <c r="BF695" s="131"/>
      <c r="BG695" s="131"/>
      <c r="BH695" s="131"/>
      <c r="BI695" s="131"/>
      <c r="BJ695" s="131"/>
      <c r="BK695" s="131"/>
      <c r="BL695" s="131"/>
      <c r="BM695" s="131"/>
      <c r="BN695" s="131"/>
      <c r="BO695" s="131"/>
      <c r="BP695" s="131"/>
      <c r="BQ695" s="131"/>
      <c r="BR695" s="131"/>
      <c r="BS695" s="131"/>
      <c r="BT695" s="131"/>
      <c r="BU695" s="131"/>
      <c r="BV695" s="131"/>
      <c r="BW695" s="131"/>
      <c r="BX695" s="131"/>
      <c r="BY695" s="131"/>
      <c r="BZ695" s="131"/>
      <c r="CA695" s="131"/>
      <c r="CB695" s="131"/>
      <c r="CC695" s="131"/>
      <c r="CD695" s="131"/>
      <c r="CE695" s="131"/>
      <c r="CF695" s="131"/>
      <c r="CG695" s="131"/>
      <c r="CH695" s="131"/>
      <c r="CI695" s="131"/>
      <c r="CJ695" s="131"/>
      <c r="CK695" s="131"/>
      <c r="CL695" s="131"/>
      <c r="CM695" s="131"/>
      <c r="CN695" s="131"/>
      <c r="CO695" s="131"/>
      <c r="CP695" s="131"/>
      <c r="CQ695" s="131"/>
    </row>
    <row r="696" spans="1:95" ht="15" hidden="1" outlineLevel="2" x14ac:dyDescent="0.25">
      <c r="A696" s="131"/>
      <c r="B696" s="131"/>
      <c r="C696" s="131"/>
      <c r="D696" s="16">
        <v>2010</v>
      </c>
      <c r="E696" s="16">
        <v>2011</v>
      </c>
      <c r="F696" s="16">
        <v>2012</v>
      </c>
      <c r="G696" s="16">
        <v>2013</v>
      </c>
      <c r="H696" s="16">
        <v>2014</v>
      </c>
      <c r="I696" s="16">
        <v>2015</v>
      </c>
      <c r="J696" s="16">
        <v>2016</v>
      </c>
      <c r="K696" s="16">
        <v>2017</v>
      </c>
      <c r="L696" s="16">
        <v>2018</v>
      </c>
      <c r="M696" s="16">
        <v>2019</v>
      </c>
      <c r="N696" s="16">
        <v>2020</v>
      </c>
      <c r="O696" s="16">
        <v>2021</v>
      </c>
      <c r="P696" s="16">
        <v>2022</v>
      </c>
      <c r="Q696" s="16">
        <v>2023</v>
      </c>
      <c r="R696" s="16">
        <v>2024</v>
      </c>
      <c r="S696" s="16">
        <v>2025</v>
      </c>
      <c r="T696" s="16">
        <v>2026</v>
      </c>
      <c r="U696" s="16">
        <v>2027</v>
      </c>
      <c r="V696" s="16">
        <v>2028</v>
      </c>
      <c r="W696" s="16">
        <v>2029</v>
      </c>
      <c r="X696" s="16">
        <v>2030</v>
      </c>
      <c r="Y696" s="16">
        <v>2031</v>
      </c>
      <c r="Z696" s="16">
        <v>2032</v>
      </c>
      <c r="AA696" s="16">
        <v>2033</v>
      </c>
      <c r="AB696" s="16">
        <v>2034</v>
      </c>
      <c r="AC696" s="16">
        <v>2035</v>
      </c>
      <c r="AD696" s="16">
        <v>2036</v>
      </c>
      <c r="AE696" s="16">
        <v>2037</v>
      </c>
      <c r="AF696" s="16">
        <v>2038</v>
      </c>
      <c r="AG696" s="16">
        <v>2039</v>
      </c>
      <c r="AH696" s="16">
        <v>2040</v>
      </c>
      <c r="AI696" s="16">
        <v>2041</v>
      </c>
      <c r="AJ696" s="16">
        <v>2042</v>
      </c>
      <c r="AK696" s="16">
        <v>2043</v>
      </c>
      <c r="AL696" s="16">
        <v>2044</v>
      </c>
      <c r="AM696" s="16">
        <v>2045</v>
      </c>
      <c r="AN696" s="16">
        <v>2046</v>
      </c>
      <c r="AO696" s="16">
        <v>2047</v>
      </c>
      <c r="AP696" s="16">
        <v>2048</v>
      </c>
      <c r="AQ696" s="16">
        <v>2049</v>
      </c>
      <c r="AR696" s="16">
        <v>2050</v>
      </c>
      <c r="AS696" s="16">
        <v>2051</v>
      </c>
      <c r="AT696" s="16">
        <v>2052</v>
      </c>
      <c r="AU696" s="16">
        <v>2053</v>
      </c>
      <c r="AV696" s="16">
        <v>2054</v>
      </c>
      <c r="AW696" s="16">
        <v>2055</v>
      </c>
      <c r="AX696" s="16">
        <v>2056</v>
      </c>
      <c r="AY696" s="16">
        <v>2057</v>
      </c>
      <c r="AZ696" s="16">
        <v>2058</v>
      </c>
      <c r="BA696" s="16">
        <v>2059</v>
      </c>
      <c r="BB696" s="16">
        <v>2060</v>
      </c>
      <c r="BC696" s="16">
        <v>2061</v>
      </c>
      <c r="BD696" s="16">
        <v>2062</v>
      </c>
      <c r="BE696" s="16">
        <v>2063</v>
      </c>
      <c r="BF696" s="16">
        <v>2064</v>
      </c>
      <c r="BG696" s="16">
        <v>2065</v>
      </c>
      <c r="BH696" s="16">
        <v>2066</v>
      </c>
      <c r="BI696" s="16">
        <v>2067</v>
      </c>
      <c r="BJ696" s="16">
        <v>2068</v>
      </c>
      <c r="BK696" s="16">
        <v>2069</v>
      </c>
      <c r="BL696" s="16">
        <v>2070</v>
      </c>
      <c r="BM696" s="16">
        <v>2071</v>
      </c>
      <c r="BN696" s="16">
        <v>2072</v>
      </c>
      <c r="BO696" s="16">
        <v>2073</v>
      </c>
      <c r="BP696" s="16">
        <v>2074</v>
      </c>
      <c r="BQ696" s="16">
        <v>2075</v>
      </c>
      <c r="BR696" s="16">
        <v>2076</v>
      </c>
      <c r="BS696" s="16">
        <v>2077</v>
      </c>
      <c r="BT696" s="16">
        <v>2078</v>
      </c>
      <c r="BU696" s="16">
        <v>2079</v>
      </c>
      <c r="BV696" s="16">
        <v>2080</v>
      </c>
      <c r="BW696" s="16">
        <v>2081</v>
      </c>
      <c r="BX696" s="16">
        <v>2082</v>
      </c>
      <c r="BY696" s="16">
        <v>2083</v>
      </c>
      <c r="BZ696" s="16">
        <v>2084</v>
      </c>
      <c r="CA696" s="16">
        <v>2085</v>
      </c>
      <c r="CB696" s="16">
        <v>2086</v>
      </c>
      <c r="CC696" s="16">
        <v>2087</v>
      </c>
      <c r="CD696" s="16">
        <v>2088</v>
      </c>
      <c r="CE696" s="16">
        <v>2089</v>
      </c>
      <c r="CF696" s="16">
        <v>2090</v>
      </c>
      <c r="CG696" s="16">
        <v>2091</v>
      </c>
      <c r="CH696" s="16">
        <v>2092</v>
      </c>
      <c r="CI696" s="16">
        <v>2093</v>
      </c>
      <c r="CJ696" s="16">
        <v>2094</v>
      </c>
      <c r="CK696" s="16">
        <v>2095</v>
      </c>
      <c r="CL696" s="16">
        <v>2096</v>
      </c>
      <c r="CM696" s="16">
        <v>2097</v>
      </c>
      <c r="CN696" s="16">
        <v>2098</v>
      </c>
      <c r="CO696" s="16">
        <v>2099</v>
      </c>
      <c r="CP696" s="16">
        <v>2100</v>
      </c>
      <c r="CQ696" s="131"/>
    </row>
    <row r="697" spans="1:95" ht="15" hidden="1" outlineLevel="2" x14ac:dyDescent="0.25">
      <c r="A697" s="131"/>
      <c r="B697" s="131" t="s">
        <v>497</v>
      </c>
      <c r="C697" s="131"/>
      <c r="D697" s="163">
        <f>Discount_period_1_mask*Discount_rate_1+Discount_period_2_mask*Discount_rate_2+Discount_period_3_mask*Discount_rate_3</f>
        <v>0</v>
      </c>
      <c r="E697" s="163">
        <f t="shared" ref="E697:AI697" si="303">Discount_period_1_mask*Discount_rate_1+Discount_period_2_mask*Discount_rate_2+Discount_period_3_mask*Discount_rate_3</f>
        <v>3.5000000000000003E-2</v>
      </c>
      <c r="F697" s="163">
        <f t="shared" si="303"/>
        <v>3.5000000000000003E-2</v>
      </c>
      <c r="G697" s="163">
        <f t="shared" si="303"/>
        <v>3.5000000000000003E-2</v>
      </c>
      <c r="H697" s="163">
        <f t="shared" si="303"/>
        <v>3.5000000000000003E-2</v>
      </c>
      <c r="I697" s="163">
        <f t="shared" si="303"/>
        <v>3.5000000000000003E-2</v>
      </c>
      <c r="J697" s="163">
        <f t="shared" si="303"/>
        <v>3.5000000000000003E-2</v>
      </c>
      <c r="K697" s="163">
        <f t="shared" si="303"/>
        <v>3.5000000000000003E-2</v>
      </c>
      <c r="L697" s="163">
        <f t="shared" si="303"/>
        <v>3.5000000000000003E-2</v>
      </c>
      <c r="M697" s="163">
        <f t="shared" si="303"/>
        <v>3.5000000000000003E-2</v>
      </c>
      <c r="N697" s="163">
        <f t="shared" si="303"/>
        <v>3.5000000000000003E-2</v>
      </c>
      <c r="O697" s="163">
        <f t="shared" si="303"/>
        <v>3.5000000000000003E-2</v>
      </c>
      <c r="P697" s="163">
        <f t="shared" si="303"/>
        <v>3.5000000000000003E-2</v>
      </c>
      <c r="Q697" s="163">
        <f t="shared" si="303"/>
        <v>3.5000000000000003E-2</v>
      </c>
      <c r="R697" s="163">
        <f t="shared" si="303"/>
        <v>3.5000000000000003E-2</v>
      </c>
      <c r="S697" s="163">
        <f t="shared" si="303"/>
        <v>3.5000000000000003E-2</v>
      </c>
      <c r="T697" s="163">
        <f t="shared" si="303"/>
        <v>3.5000000000000003E-2</v>
      </c>
      <c r="U697" s="163">
        <f t="shared" si="303"/>
        <v>3.5000000000000003E-2</v>
      </c>
      <c r="V697" s="163">
        <f t="shared" si="303"/>
        <v>3.5000000000000003E-2</v>
      </c>
      <c r="W697" s="163">
        <f t="shared" si="303"/>
        <v>3.5000000000000003E-2</v>
      </c>
      <c r="X697" s="163">
        <f t="shared" si="303"/>
        <v>3.5000000000000003E-2</v>
      </c>
      <c r="Y697" s="163">
        <f t="shared" si="303"/>
        <v>3.5000000000000003E-2</v>
      </c>
      <c r="Z697" s="163">
        <f t="shared" si="303"/>
        <v>3.5000000000000003E-2</v>
      </c>
      <c r="AA697" s="163">
        <f t="shared" si="303"/>
        <v>3.5000000000000003E-2</v>
      </c>
      <c r="AB697" s="163">
        <f t="shared" si="303"/>
        <v>3.5000000000000003E-2</v>
      </c>
      <c r="AC697" s="163">
        <f t="shared" si="303"/>
        <v>3.5000000000000003E-2</v>
      </c>
      <c r="AD697" s="163">
        <f t="shared" si="303"/>
        <v>3.5000000000000003E-2</v>
      </c>
      <c r="AE697" s="163">
        <f t="shared" si="303"/>
        <v>3.5000000000000003E-2</v>
      </c>
      <c r="AF697" s="163">
        <f t="shared" si="303"/>
        <v>3.5000000000000003E-2</v>
      </c>
      <c r="AG697" s="163">
        <f t="shared" si="303"/>
        <v>3.5000000000000003E-2</v>
      </c>
      <c r="AH697" s="163">
        <f t="shared" si="303"/>
        <v>3.5000000000000003E-2</v>
      </c>
      <c r="AI697" s="163">
        <f t="shared" si="303"/>
        <v>3.5000000000000003E-2</v>
      </c>
      <c r="AJ697" s="163">
        <f t="shared" ref="AJ697:BO697" si="304">Discount_period_1_mask*Discount_rate_1+Discount_period_2_mask*Discount_rate_2+Discount_period_3_mask*Discount_rate_3</f>
        <v>3.5000000000000003E-2</v>
      </c>
      <c r="AK697" s="163">
        <f t="shared" si="304"/>
        <v>3.5000000000000003E-2</v>
      </c>
      <c r="AL697" s="163">
        <f t="shared" si="304"/>
        <v>3.5000000000000003E-2</v>
      </c>
      <c r="AM697" s="163">
        <f t="shared" si="304"/>
        <v>3.5000000000000003E-2</v>
      </c>
      <c r="AN697" s="163">
        <f t="shared" si="304"/>
        <v>3.5000000000000003E-2</v>
      </c>
      <c r="AO697" s="163">
        <f t="shared" si="304"/>
        <v>3.5000000000000003E-2</v>
      </c>
      <c r="AP697" s="163">
        <f t="shared" si="304"/>
        <v>0.03</v>
      </c>
      <c r="AQ697" s="163">
        <f t="shared" si="304"/>
        <v>0.03</v>
      </c>
      <c r="AR697" s="163">
        <f t="shared" si="304"/>
        <v>0.03</v>
      </c>
      <c r="AS697" s="163">
        <f t="shared" si="304"/>
        <v>0.03</v>
      </c>
      <c r="AT697" s="163">
        <f t="shared" si="304"/>
        <v>0.03</v>
      </c>
      <c r="AU697" s="163">
        <f t="shared" si="304"/>
        <v>0.03</v>
      </c>
      <c r="AV697" s="163">
        <f t="shared" si="304"/>
        <v>0.03</v>
      </c>
      <c r="AW697" s="163">
        <f t="shared" si="304"/>
        <v>0.03</v>
      </c>
      <c r="AX697" s="163">
        <f t="shared" si="304"/>
        <v>0.03</v>
      </c>
      <c r="AY697" s="163">
        <f t="shared" si="304"/>
        <v>0.03</v>
      </c>
      <c r="AZ697" s="163">
        <f t="shared" si="304"/>
        <v>0.03</v>
      </c>
      <c r="BA697" s="163">
        <f t="shared" si="304"/>
        <v>0.03</v>
      </c>
      <c r="BB697" s="163">
        <f t="shared" si="304"/>
        <v>0.03</v>
      </c>
      <c r="BC697" s="163">
        <f t="shared" si="304"/>
        <v>0.03</v>
      </c>
      <c r="BD697" s="163">
        <f t="shared" si="304"/>
        <v>0.03</v>
      </c>
      <c r="BE697" s="163">
        <f t="shared" si="304"/>
        <v>0.03</v>
      </c>
      <c r="BF697" s="163">
        <f t="shared" si="304"/>
        <v>0.03</v>
      </c>
      <c r="BG697" s="163">
        <f t="shared" si="304"/>
        <v>0.03</v>
      </c>
      <c r="BH697" s="163">
        <f t="shared" si="304"/>
        <v>0.03</v>
      </c>
      <c r="BI697" s="163">
        <f t="shared" si="304"/>
        <v>0.03</v>
      </c>
      <c r="BJ697" s="163">
        <f t="shared" si="304"/>
        <v>0.03</v>
      </c>
      <c r="BK697" s="163">
        <f t="shared" si="304"/>
        <v>0.03</v>
      </c>
      <c r="BL697" s="163">
        <f t="shared" si="304"/>
        <v>0.03</v>
      </c>
      <c r="BM697" s="163">
        <f t="shared" si="304"/>
        <v>0.03</v>
      </c>
      <c r="BN697" s="163">
        <f t="shared" si="304"/>
        <v>0.03</v>
      </c>
      <c r="BO697" s="163">
        <f t="shared" si="304"/>
        <v>0.03</v>
      </c>
      <c r="BP697" s="163">
        <f t="shared" ref="BP697:CP697" si="305">Discount_period_1_mask*Discount_rate_1+Discount_period_2_mask*Discount_rate_2+Discount_period_3_mask*Discount_rate_3</f>
        <v>0.03</v>
      </c>
      <c r="BQ697" s="163">
        <f t="shared" si="305"/>
        <v>0.03</v>
      </c>
      <c r="BR697" s="163">
        <f t="shared" si="305"/>
        <v>0.03</v>
      </c>
      <c r="BS697" s="163">
        <f t="shared" si="305"/>
        <v>0.03</v>
      </c>
      <c r="BT697" s="163">
        <f t="shared" si="305"/>
        <v>0.03</v>
      </c>
      <c r="BU697" s="163">
        <f t="shared" si="305"/>
        <v>0.03</v>
      </c>
      <c r="BV697" s="163">
        <f t="shared" si="305"/>
        <v>0.03</v>
      </c>
      <c r="BW697" s="163">
        <f t="shared" si="305"/>
        <v>0.03</v>
      </c>
      <c r="BX697" s="163">
        <f t="shared" si="305"/>
        <v>0.03</v>
      </c>
      <c r="BY697" s="163">
        <f t="shared" si="305"/>
        <v>0.03</v>
      </c>
      <c r="BZ697" s="163">
        <f t="shared" si="305"/>
        <v>0.03</v>
      </c>
      <c r="CA697" s="163">
        <f t="shared" si="305"/>
        <v>0.03</v>
      </c>
      <c r="CB697" s="163">
        <f t="shared" si="305"/>
        <v>0.03</v>
      </c>
      <c r="CC697" s="163">
        <f t="shared" si="305"/>
        <v>0.03</v>
      </c>
      <c r="CD697" s="163">
        <f t="shared" si="305"/>
        <v>0.03</v>
      </c>
      <c r="CE697" s="163">
        <f t="shared" si="305"/>
        <v>0.03</v>
      </c>
      <c r="CF697" s="163">
        <f t="shared" si="305"/>
        <v>0.03</v>
      </c>
      <c r="CG697" s="163">
        <f t="shared" si="305"/>
        <v>0.03</v>
      </c>
      <c r="CH697" s="163">
        <f t="shared" si="305"/>
        <v>0.03</v>
      </c>
      <c r="CI697" s="163">
        <f t="shared" si="305"/>
        <v>2.5000000000000001E-2</v>
      </c>
      <c r="CJ697" s="163">
        <f t="shared" si="305"/>
        <v>2.5000000000000001E-2</v>
      </c>
      <c r="CK697" s="163">
        <f t="shared" si="305"/>
        <v>2.5000000000000001E-2</v>
      </c>
      <c r="CL697" s="163">
        <f t="shared" si="305"/>
        <v>2.5000000000000001E-2</v>
      </c>
      <c r="CM697" s="163">
        <f t="shared" si="305"/>
        <v>2.5000000000000001E-2</v>
      </c>
      <c r="CN697" s="163">
        <f t="shared" si="305"/>
        <v>2.5000000000000001E-2</v>
      </c>
      <c r="CO697" s="163">
        <f t="shared" si="305"/>
        <v>2.5000000000000001E-2</v>
      </c>
      <c r="CP697" s="163">
        <f t="shared" si="305"/>
        <v>2.5000000000000001E-2</v>
      </c>
      <c r="CQ697" s="3" t="s">
        <v>498</v>
      </c>
    </row>
    <row r="698" spans="1:95" ht="15" hidden="1" outlineLevel="2" x14ac:dyDescent="0.25">
      <c r="A698" s="131"/>
      <c r="B698" s="131" t="s">
        <v>499</v>
      </c>
      <c r="C698" s="131">
        <v>1</v>
      </c>
      <c r="D698" s="158">
        <f>C698*(1+Discount_rate_profile)</f>
        <v>1</v>
      </c>
      <c r="E698" s="158">
        <f t="shared" ref="E698:AI698" si="306">D698*(1+Discount_rate_profile)</f>
        <v>1.0349999999999999</v>
      </c>
      <c r="F698" s="158">
        <f t="shared" si="306"/>
        <v>1.0712249999999999</v>
      </c>
      <c r="G698" s="158">
        <f t="shared" si="306"/>
        <v>1.1087178749999997</v>
      </c>
      <c r="H698" s="158">
        <f t="shared" si="306"/>
        <v>1.1475230006249997</v>
      </c>
      <c r="I698" s="158">
        <f t="shared" si="306"/>
        <v>1.1876863056468745</v>
      </c>
      <c r="J698" s="158">
        <f t="shared" si="306"/>
        <v>1.229255326344515</v>
      </c>
      <c r="K698" s="158">
        <f t="shared" si="306"/>
        <v>1.2722792627665729</v>
      </c>
      <c r="L698" s="158">
        <f t="shared" si="306"/>
        <v>1.3168090369634029</v>
      </c>
      <c r="M698" s="158">
        <f t="shared" si="306"/>
        <v>1.3628973532571218</v>
      </c>
      <c r="N698" s="158">
        <f t="shared" si="306"/>
        <v>1.410598760621121</v>
      </c>
      <c r="O698" s="158">
        <f t="shared" si="306"/>
        <v>1.4599697172428601</v>
      </c>
      <c r="P698" s="158">
        <f t="shared" si="306"/>
        <v>1.5110686573463601</v>
      </c>
      <c r="Q698" s="158">
        <f t="shared" si="306"/>
        <v>1.5639560603534826</v>
      </c>
      <c r="R698" s="158">
        <f t="shared" si="306"/>
        <v>1.6186945224658542</v>
      </c>
      <c r="S698" s="158">
        <f t="shared" si="306"/>
        <v>1.6753488307521589</v>
      </c>
      <c r="T698" s="158">
        <f t="shared" si="306"/>
        <v>1.7339860398284843</v>
      </c>
      <c r="U698" s="158">
        <f t="shared" si="306"/>
        <v>1.7946755512224812</v>
      </c>
      <c r="V698" s="158">
        <f t="shared" si="306"/>
        <v>1.8574891955152679</v>
      </c>
      <c r="W698" s="158">
        <f t="shared" si="306"/>
        <v>1.9225013173583021</v>
      </c>
      <c r="X698" s="158">
        <f t="shared" si="306"/>
        <v>1.9897888634658425</v>
      </c>
      <c r="Y698" s="158">
        <f t="shared" si="306"/>
        <v>2.0594314736871469</v>
      </c>
      <c r="Z698" s="158">
        <f t="shared" si="306"/>
        <v>2.1315115752661966</v>
      </c>
      <c r="AA698" s="158">
        <f t="shared" si="306"/>
        <v>2.2061144804005135</v>
      </c>
      <c r="AB698" s="158">
        <f t="shared" si="306"/>
        <v>2.2833284872145314</v>
      </c>
      <c r="AC698" s="158">
        <f t="shared" si="306"/>
        <v>2.3632449842670398</v>
      </c>
      <c r="AD698" s="158">
        <f t="shared" si="306"/>
        <v>2.4459585587163861</v>
      </c>
      <c r="AE698" s="158">
        <f t="shared" si="306"/>
        <v>2.5315671082714593</v>
      </c>
      <c r="AF698" s="158">
        <f t="shared" si="306"/>
        <v>2.6201719570609603</v>
      </c>
      <c r="AG698" s="158">
        <f t="shared" si="306"/>
        <v>2.7118779755580937</v>
      </c>
      <c r="AH698" s="158">
        <f t="shared" si="306"/>
        <v>2.8067937047026268</v>
      </c>
      <c r="AI698" s="158">
        <f t="shared" si="306"/>
        <v>2.9050314843672185</v>
      </c>
      <c r="AJ698" s="158">
        <f t="shared" ref="AJ698:BO698" si="307">AI698*(1+Discount_rate_profile)</f>
        <v>3.0067075863200707</v>
      </c>
      <c r="AK698" s="158">
        <f t="shared" si="307"/>
        <v>3.111942351841273</v>
      </c>
      <c r="AL698" s="158">
        <f t="shared" si="307"/>
        <v>3.2208603341557174</v>
      </c>
      <c r="AM698" s="158">
        <f t="shared" si="307"/>
        <v>3.3335904458511671</v>
      </c>
      <c r="AN698" s="158">
        <f t="shared" si="307"/>
        <v>3.4502661114559579</v>
      </c>
      <c r="AO698" s="158">
        <f t="shared" si="307"/>
        <v>3.571025425356916</v>
      </c>
      <c r="AP698" s="158">
        <f t="shared" si="307"/>
        <v>3.6781561881176237</v>
      </c>
      <c r="AQ698" s="158">
        <f t="shared" si="307"/>
        <v>3.7885008737611523</v>
      </c>
      <c r="AR698" s="158">
        <f t="shared" si="307"/>
        <v>3.9021558999739869</v>
      </c>
      <c r="AS698" s="158">
        <f t="shared" si="307"/>
        <v>4.0192205769732068</v>
      </c>
      <c r="AT698" s="158">
        <f t="shared" si="307"/>
        <v>4.1397971942824032</v>
      </c>
      <c r="AU698" s="158">
        <f t="shared" si="307"/>
        <v>4.2639911101108758</v>
      </c>
      <c r="AV698" s="158">
        <f t="shared" si="307"/>
        <v>4.3919108434142018</v>
      </c>
      <c r="AW698" s="158">
        <f t="shared" si="307"/>
        <v>4.523668168716628</v>
      </c>
      <c r="AX698" s="158">
        <f t="shared" si="307"/>
        <v>4.659378213778127</v>
      </c>
      <c r="AY698" s="158">
        <f t="shared" si="307"/>
        <v>4.7991595601914705</v>
      </c>
      <c r="AZ698" s="158">
        <f t="shared" si="307"/>
        <v>4.9431343469972147</v>
      </c>
      <c r="BA698" s="158">
        <f t="shared" si="307"/>
        <v>5.0914283774071309</v>
      </c>
      <c r="BB698" s="158">
        <f t="shared" si="307"/>
        <v>5.2441712287293454</v>
      </c>
      <c r="BC698" s="158">
        <f t="shared" si="307"/>
        <v>5.4014963655912256</v>
      </c>
      <c r="BD698" s="158">
        <f t="shared" si="307"/>
        <v>5.5635412565589624</v>
      </c>
      <c r="BE698" s="158">
        <f t="shared" si="307"/>
        <v>5.7304474942557313</v>
      </c>
      <c r="BF698" s="158">
        <f t="shared" si="307"/>
        <v>5.902360919083403</v>
      </c>
      <c r="BG698" s="158">
        <f t="shared" si="307"/>
        <v>6.0794317466559056</v>
      </c>
      <c r="BH698" s="158">
        <f t="shared" si="307"/>
        <v>6.2618146990555825</v>
      </c>
      <c r="BI698" s="158">
        <f t="shared" si="307"/>
        <v>6.4496691400272503</v>
      </c>
      <c r="BJ698" s="158">
        <f t="shared" si="307"/>
        <v>6.643159214228068</v>
      </c>
      <c r="BK698" s="158">
        <f t="shared" si="307"/>
        <v>6.84245399065491</v>
      </c>
      <c r="BL698" s="158">
        <f t="shared" si="307"/>
        <v>7.0477276103745572</v>
      </c>
      <c r="BM698" s="158">
        <f t="shared" si="307"/>
        <v>7.2591594386857938</v>
      </c>
      <c r="BN698" s="158">
        <f t="shared" si="307"/>
        <v>7.4769342218463679</v>
      </c>
      <c r="BO698" s="158">
        <f t="shared" si="307"/>
        <v>7.7012422485017593</v>
      </c>
      <c r="BP698" s="158">
        <f t="shared" ref="BP698:CP698" si="308">BO698*(1+Discount_rate_profile)</f>
        <v>7.9322795159568127</v>
      </c>
      <c r="BQ698" s="158">
        <f t="shared" si="308"/>
        <v>8.170247901435518</v>
      </c>
      <c r="BR698" s="158">
        <f t="shared" si="308"/>
        <v>8.4153553384785837</v>
      </c>
      <c r="BS698" s="158">
        <f t="shared" si="308"/>
        <v>8.6678159986329408</v>
      </c>
      <c r="BT698" s="158">
        <f t="shared" si="308"/>
        <v>8.9278504785919299</v>
      </c>
      <c r="BU698" s="158">
        <f t="shared" si="308"/>
        <v>9.1956859929496879</v>
      </c>
      <c r="BV698" s="158">
        <f t="shared" si="308"/>
        <v>9.4715565727381783</v>
      </c>
      <c r="BW698" s="158">
        <f t="shared" si="308"/>
        <v>9.7557032699203248</v>
      </c>
      <c r="BX698" s="158">
        <f t="shared" si="308"/>
        <v>10.048374368017935</v>
      </c>
      <c r="BY698" s="158">
        <f t="shared" si="308"/>
        <v>10.349825599058473</v>
      </c>
      <c r="BZ698" s="158">
        <f t="shared" si="308"/>
        <v>10.660320367030227</v>
      </c>
      <c r="CA698" s="158">
        <f t="shared" si="308"/>
        <v>10.980129978041134</v>
      </c>
      <c r="CB698" s="158">
        <f t="shared" si="308"/>
        <v>11.309533877382368</v>
      </c>
      <c r="CC698" s="158">
        <f t="shared" si="308"/>
        <v>11.648819893703839</v>
      </c>
      <c r="CD698" s="158">
        <f t="shared" si="308"/>
        <v>11.998284490514955</v>
      </c>
      <c r="CE698" s="158">
        <f t="shared" si="308"/>
        <v>12.358233025230405</v>
      </c>
      <c r="CF698" s="158">
        <f t="shared" si="308"/>
        <v>12.728980015987316</v>
      </c>
      <c r="CG698" s="158">
        <f t="shared" si="308"/>
        <v>13.110849416466936</v>
      </c>
      <c r="CH698" s="158">
        <f t="shared" si="308"/>
        <v>13.504174898960944</v>
      </c>
      <c r="CI698" s="158">
        <f t="shared" si="308"/>
        <v>13.841779271434966</v>
      </c>
      <c r="CJ698" s="158">
        <f t="shared" si="308"/>
        <v>14.187823753220838</v>
      </c>
      <c r="CK698" s="158">
        <f t="shared" si="308"/>
        <v>14.542519347051359</v>
      </c>
      <c r="CL698" s="158">
        <f t="shared" si="308"/>
        <v>14.906082330727642</v>
      </c>
      <c r="CM698" s="158">
        <f t="shared" si="308"/>
        <v>15.278734388995831</v>
      </c>
      <c r="CN698" s="158">
        <f t="shared" si="308"/>
        <v>15.660702748720725</v>
      </c>
      <c r="CO698" s="158">
        <f t="shared" si="308"/>
        <v>16.052220317438742</v>
      </c>
      <c r="CP698" s="158">
        <f t="shared" si="308"/>
        <v>16.453525825374708</v>
      </c>
      <c r="CQ698" s="3" t="s">
        <v>500</v>
      </c>
    </row>
    <row r="699" spans="1:95" ht="15" hidden="1" outlineLevel="2" x14ac:dyDescent="0.25">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c r="AO699" s="131"/>
      <c r="AP699" s="131"/>
      <c r="AQ699" s="131"/>
      <c r="AR699" s="131"/>
      <c r="AS699" s="131"/>
      <c r="AT699" s="131"/>
      <c r="AU699" s="131"/>
      <c r="AV699" s="131"/>
      <c r="AW699" s="131"/>
      <c r="AX699" s="131"/>
      <c r="AY699" s="131"/>
      <c r="AZ699" s="131"/>
      <c r="BA699" s="131"/>
      <c r="BB699" s="131"/>
      <c r="BC699" s="131"/>
      <c r="BD699" s="131"/>
      <c r="BE699" s="131"/>
      <c r="BF699" s="131"/>
      <c r="BG699" s="131"/>
      <c r="BH699" s="131"/>
      <c r="BI699" s="131"/>
      <c r="BJ699" s="131"/>
      <c r="BK699" s="131"/>
      <c r="BL699" s="131"/>
      <c r="BM699" s="131"/>
      <c r="BN699" s="131"/>
      <c r="BO699" s="131"/>
      <c r="BP699" s="131"/>
      <c r="BQ699" s="131"/>
      <c r="BR699" s="131"/>
      <c r="BS699" s="131"/>
      <c r="BT699" s="131"/>
      <c r="BU699" s="131"/>
      <c r="BV699" s="131"/>
      <c r="BW699" s="131"/>
      <c r="BX699" s="131"/>
      <c r="BY699" s="131"/>
      <c r="BZ699" s="131"/>
      <c r="CA699" s="131"/>
      <c r="CB699" s="131"/>
      <c r="CC699" s="131"/>
      <c r="CD699" s="131"/>
      <c r="CE699" s="131"/>
      <c r="CF699" s="131"/>
      <c r="CG699" s="131"/>
      <c r="CH699" s="131"/>
      <c r="CI699" s="131"/>
      <c r="CJ699" s="131"/>
      <c r="CK699" s="131"/>
      <c r="CL699" s="131"/>
      <c r="CM699" s="131"/>
      <c r="CN699" s="131"/>
      <c r="CO699" s="131"/>
      <c r="CP699" s="131"/>
      <c r="CQ699" s="131"/>
    </row>
    <row r="700" spans="1:95" s="5" customFormat="1" ht="15.75" hidden="1" outlineLevel="2" x14ac:dyDescent="0.25">
      <c r="B700" s="5" t="s">
        <v>501</v>
      </c>
    </row>
    <row r="701" spans="1:95" ht="15" hidden="1" outlineLevel="2" x14ac:dyDescent="0.25">
      <c r="A701" s="131"/>
      <c r="B701" s="3" t="s">
        <v>502</v>
      </c>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c r="AO701" s="131"/>
      <c r="AP701" s="131"/>
      <c r="AQ701" s="131"/>
      <c r="AR701" s="131"/>
      <c r="AS701" s="131"/>
      <c r="AT701" s="131"/>
      <c r="AU701" s="131"/>
      <c r="AV701" s="131"/>
      <c r="AW701" s="131"/>
      <c r="AX701" s="131"/>
      <c r="AY701" s="131"/>
      <c r="AZ701" s="131"/>
      <c r="BA701" s="131"/>
      <c r="BB701" s="131"/>
      <c r="BC701" s="131"/>
      <c r="BD701" s="131"/>
      <c r="BE701" s="131"/>
      <c r="BF701" s="131"/>
      <c r="BG701" s="131"/>
      <c r="BH701" s="131"/>
      <c r="BI701" s="131"/>
      <c r="BJ701" s="131"/>
      <c r="BK701" s="131"/>
      <c r="BL701" s="131"/>
      <c r="BM701" s="131"/>
      <c r="BN701" s="131"/>
      <c r="BO701" s="131"/>
      <c r="BP701" s="131"/>
      <c r="BQ701" s="131"/>
      <c r="BR701" s="131"/>
      <c r="BS701" s="131"/>
      <c r="BT701" s="131"/>
      <c r="BU701" s="131"/>
      <c r="BV701" s="131"/>
      <c r="BW701" s="131"/>
      <c r="BX701" s="131"/>
      <c r="BY701" s="131"/>
      <c r="BZ701" s="131"/>
      <c r="CA701" s="131"/>
      <c r="CB701" s="131"/>
      <c r="CC701" s="131"/>
      <c r="CD701" s="131"/>
      <c r="CE701" s="131"/>
      <c r="CF701" s="131"/>
      <c r="CG701" s="131"/>
      <c r="CH701" s="131"/>
      <c r="CI701" s="131"/>
      <c r="CJ701" s="131"/>
      <c r="CK701" s="131"/>
      <c r="CL701" s="131"/>
      <c r="CM701" s="131"/>
      <c r="CN701" s="131"/>
      <c r="CO701" s="131"/>
      <c r="CP701" s="131"/>
      <c r="CQ701" s="131"/>
    </row>
    <row r="702" spans="1:95" ht="15" hidden="1" outlineLevel="2" x14ac:dyDescent="0.25">
      <c r="A702" s="131"/>
      <c r="B702" s="3"/>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c r="AO702" s="131"/>
      <c r="AP702" s="131"/>
      <c r="AQ702" s="131"/>
      <c r="AR702" s="131"/>
      <c r="AS702" s="131"/>
      <c r="AT702" s="131"/>
      <c r="AU702" s="131"/>
      <c r="AV702" s="131"/>
      <c r="AW702" s="131"/>
      <c r="AX702" s="131"/>
      <c r="AY702" s="131"/>
      <c r="AZ702" s="131"/>
      <c r="BA702" s="131"/>
      <c r="BB702" s="131"/>
      <c r="BC702" s="131"/>
      <c r="BD702" s="131"/>
      <c r="BE702" s="131"/>
      <c r="BF702" s="131"/>
      <c r="BG702" s="131"/>
      <c r="BH702" s="131"/>
      <c r="BI702" s="131"/>
      <c r="BJ702" s="131"/>
      <c r="BK702" s="131"/>
      <c r="BL702" s="131"/>
      <c r="BM702" s="131"/>
      <c r="BN702" s="131"/>
      <c r="BO702" s="131"/>
      <c r="BP702" s="131"/>
      <c r="BQ702" s="131"/>
      <c r="BR702" s="131"/>
      <c r="BS702" s="131"/>
      <c r="BT702" s="131"/>
      <c r="BU702" s="131"/>
      <c r="BV702" s="131"/>
      <c r="BW702" s="131"/>
      <c r="BX702" s="131"/>
      <c r="BY702" s="131"/>
      <c r="BZ702" s="131"/>
      <c r="CA702" s="131"/>
      <c r="CB702" s="131"/>
      <c r="CC702" s="131"/>
      <c r="CD702" s="131"/>
      <c r="CE702" s="131"/>
      <c r="CF702" s="131"/>
      <c r="CG702" s="131"/>
      <c r="CH702" s="131"/>
      <c r="CI702" s="131"/>
      <c r="CJ702" s="131"/>
      <c r="CK702" s="131"/>
      <c r="CL702" s="131"/>
      <c r="CM702" s="131"/>
      <c r="CN702" s="131"/>
      <c r="CO702" s="131"/>
      <c r="CP702" s="131"/>
      <c r="CQ702" s="131"/>
    </row>
    <row r="703" spans="1:95" ht="15" hidden="1" outlineLevel="2" x14ac:dyDescent="0.25">
      <c r="A703" s="131"/>
      <c r="B703" s="131"/>
      <c r="C703" s="131"/>
      <c r="D703" s="16">
        <v>2010</v>
      </c>
      <c r="E703" s="16">
        <v>2011</v>
      </c>
      <c r="F703" s="16">
        <v>2012</v>
      </c>
      <c r="G703" s="16">
        <v>2013</v>
      </c>
      <c r="H703" s="16">
        <v>2014</v>
      </c>
      <c r="I703" s="16">
        <v>2015</v>
      </c>
      <c r="J703" s="16">
        <v>2016</v>
      </c>
      <c r="K703" s="16">
        <v>2017</v>
      </c>
      <c r="L703" s="16">
        <v>2018</v>
      </c>
      <c r="M703" s="16">
        <v>2019</v>
      </c>
      <c r="N703" s="16">
        <v>2020</v>
      </c>
      <c r="O703" s="16">
        <v>2021</v>
      </c>
      <c r="P703" s="16">
        <v>2022</v>
      </c>
      <c r="Q703" s="16">
        <v>2023</v>
      </c>
      <c r="R703" s="16">
        <v>2024</v>
      </c>
      <c r="S703" s="16">
        <v>2025</v>
      </c>
      <c r="T703" s="16">
        <v>2026</v>
      </c>
      <c r="U703" s="16">
        <v>2027</v>
      </c>
      <c r="V703" s="16">
        <v>2028</v>
      </c>
      <c r="W703" s="16">
        <v>2029</v>
      </c>
      <c r="X703" s="16">
        <v>2030</v>
      </c>
      <c r="Y703" s="16">
        <v>2031</v>
      </c>
      <c r="Z703" s="16">
        <v>2032</v>
      </c>
      <c r="AA703" s="16">
        <v>2033</v>
      </c>
      <c r="AB703" s="16">
        <v>2034</v>
      </c>
      <c r="AC703" s="16">
        <v>2035</v>
      </c>
      <c r="AD703" s="16">
        <v>2036</v>
      </c>
      <c r="AE703" s="16">
        <v>2037</v>
      </c>
      <c r="AF703" s="16">
        <v>2038</v>
      </c>
      <c r="AG703" s="16">
        <v>2039</v>
      </c>
      <c r="AH703" s="16">
        <v>2040</v>
      </c>
      <c r="AI703" s="16">
        <v>2041</v>
      </c>
      <c r="AJ703" s="16">
        <v>2042</v>
      </c>
      <c r="AK703" s="16">
        <v>2043</v>
      </c>
      <c r="AL703" s="16">
        <v>2044</v>
      </c>
      <c r="AM703" s="16">
        <v>2045</v>
      </c>
      <c r="AN703" s="16">
        <v>2046</v>
      </c>
      <c r="AO703" s="16">
        <v>2047</v>
      </c>
      <c r="AP703" s="16">
        <v>2048</v>
      </c>
      <c r="AQ703" s="16">
        <v>2049</v>
      </c>
      <c r="AR703" s="16">
        <v>2050</v>
      </c>
      <c r="AS703" s="16">
        <v>2051</v>
      </c>
      <c r="AT703" s="16">
        <v>2052</v>
      </c>
      <c r="AU703" s="16">
        <v>2053</v>
      </c>
      <c r="AV703" s="16">
        <v>2054</v>
      </c>
      <c r="AW703" s="16">
        <v>2055</v>
      </c>
      <c r="AX703" s="16">
        <v>2056</v>
      </c>
      <c r="AY703" s="16">
        <v>2057</v>
      </c>
      <c r="AZ703" s="16">
        <v>2058</v>
      </c>
      <c r="BA703" s="16">
        <v>2059</v>
      </c>
      <c r="BB703" s="16">
        <v>2060</v>
      </c>
      <c r="BC703" s="16">
        <v>2061</v>
      </c>
      <c r="BD703" s="16">
        <v>2062</v>
      </c>
      <c r="BE703" s="16">
        <v>2063</v>
      </c>
      <c r="BF703" s="16">
        <v>2064</v>
      </c>
      <c r="BG703" s="16">
        <v>2065</v>
      </c>
      <c r="BH703" s="16">
        <v>2066</v>
      </c>
      <c r="BI703" s="16">
        <v>2067</v>
      </c>
      <c r="BJ703" s="16">
        <v>2068</v>
      </c>
      <c r="BK703" s="16">
        <v>2069</v>
      </c>
      <c r="BL703" s="16">
        <v>2070</v>
      </c>
      <c r="BM703" s="16">
        <v>2071</v>
      </c>
      <c r="BN703" s="16">
        <v>2072</v>
      </c>
      <c r="BO703" s="16">
        <v>2073</v>
      </c>
      <c r="BP703" s="16">
        <v>2074</v>
      </c>
      <c r="BQ703" s="16">
        <v>2075</v>
      </c>
      <c r="BR703" s="16">
        <v>2076</v>
      </c>
      <c r="BS703" s="16">
        <v>2077</v>
      </c>
      <c r="BT703" s="16">
        <v>2078</v>
      </c>
      <c r="BU703" s="16">
        <v>2079</v>
      </c>
      <c r="BV703" s="16">
        <v>2080</v>
      </c>
      <c r="BW703" s="16">
        <v>2081</v>
      </c>
      <c r="BX703" s="16">
        <v>2082</v>
      </c>
      <c r="BY703" s="16">
        <v>2083</v>
      </c>
      <c r="BZ703" s="16">
        <v>2084</v>
      </c>
      <c r="CA703" s="16">
        <v>2085</v>
      </c>
      <c r="CB703" s="16">
        <v>2086</v>
      </c>
      <c r="CC703" s="16">
        <v>2087</v>
      </c>
      <c r="CD703" s="16">
        <v>2088</v>
      </c>
      <c r="CE703" s="16">
        <v>2089</v>
      </c>
      <c r="CF703" s="16">
        <v>2090</v>
      </c>
      <c r="CG703" s="16">
        <v>2091</v>
      </c>
      <c r="CH703" s="16">
        <v>2092</v>
      </c>
      <c r="CI703" s="16">
        <v>2093</v>
      </c>
      <c r="CJ703" s="16">
        <v>2094</v>
      </c>
      <c r="CK703" s="16">
        <v>2095</v>
      </c>
      <c r="CL703" s="16">
        <v>2096</v>
      </c>
      <c r="CM703" s="16">
        <v>2097</v>
      </c>
      <c r="CN703" s="16">
        <v>2098</v>
      </c>
      <c r="CO703" s="16">
        <v>2099</v>
      </c>
      <c r="CP703" s="16">
        <v>2100</v>
      </c>
      <c r="CQ703" s="131"/>
    </row>
    <row r="704" spans="1:95" ht="15" hidden="1" outlineLevel="2" x14ac:dyDescent="0.25">
      <c r="A704" s="131"/>
      <c r="B704" s="131" t="s">
        <v>65</v>
      </c>
      <c r="C704" s="131"/>
      <c r="D704" s="149">
        <f t="shared" ref="D704:AI704" si="309">Annual_sleep_disturbance_valuation_hh_adj/Discount_factor</f>
        <v>0</v>
      </c>
      <c r="E704" s="149">
        <f t="shared" si="309"/>
        <v>0</v>
      </c>
      <c r="F704" s="149">
        <f t="shared" si="309"/>
        <v>0</v>
      </c>
      <c r="G704" s="149">
        <f t="shared" si="309"/>
        <v>0</v>
      </c>
      <c r="H704" s="149">
        <f t="shared" si="309"/>
        <v>0</v>
      </c>
      <c r="I704" s="149">
        <f>Annual_sleep_disturbance_valuation_hh_adj/Discount_factor</f>
        <v>0</v>
      </c>
      <c r="J704" s="149">
        <f t="shared" si="309"/>
        <v>0</v>
      </c>
      <c r="K704" s="149">
        <f t="shared" si="309"/>
        <v>0</v>
      </c>
      <c r="L704" s="149">
        <f t="shared" si="309"/>
        <v>0</v>
      </c>
      <c r="M704" s="149">
        <f t="shared" si="309"/>
        <v>0</v>
      </c>
      <c r="N704" s="149">
        <f t="shared" si="309"/>
        <v>0</v>
      </c>
      <c r="O704" s="149">
        <f t="shared" si="309"/>
        <v>0</v>
      </c>
      <c r="P704" s="149">
        <f t="shared" si="309"/>
        <v>0</v>
      </c>
      <c r="Q704" s="149">
        <f t="shared" si="309"/>
        <v>0</v>
      </c>
      <c r="R704" s="149">
        <f t="shared" si="309"/>
        <v>0</v>
      </c>
      <c r="S704" s="149">
        <f t="shared" si="309"/>
        <v>0</v>
      </c>
      <c r="T704" s="149">
        <f t="shared" si="309"/>
        <v>-173242.350994918</v>
      </c>
      <c r="U704" s="149">
        <f t="shared" si="309"/>
        <v>-174170.87402985943</v>
      </c>
      <c r="V704" s="149">
        <f t="shared" si="309"/>
        <v>-175062.07402756953</v>
      </c>
      <c r="W704" s="149">
        <f t="shared" si="309"/>
        <v>-175917.47705513271</v>
      </c>
      <c r="X704" s="149">
        <f t="shared" si="309"/>
        <v>-176738.29202048856</v>
      </c>
      <c r="Y704" s="149">
        <f t="shared" si="309"/>
        <v>-177525.15531298696</v>
      </c>
      <c r="Z704" s="149">
        <f t="shared" si="309"/>
        <v>-178278.10099083194</v>
      </c>
      <c r="AA704" s="149">
        <f t="shared" si="309"/>
        <v>-178996.33829846932</v>
      </c>
      <c r="AB704" s="149">
        <f t="shared" si="309"/>
        <v>-179854.15011669823</v>
      </c>
      <c r="AC704" s="149">
        <f t="shared" si="309"/>
        <v>-180500.42902127359</v>
      </c>
      <c r="AD704" s="149">
        <f t="shared" si="309"/>
        <v>-181108.51969126286</v>
      </c>
      <c r="AE704" s="149">
        <f t="shared" si="309"/>
        <v>-178645.39737874383</v>
      </c>
      <c r="AF704" s="149">
        <f t="shared" si="309"/>
        <v>-176215.77416133505</v>
      </c>
      <c r="AG704" s="149">
        <f t="shared" si="309"/>
        <v>-173819.19444275243</v>
      </c>
      <c r="AH704" s="149">
        <f t="shared" si="309"/>
        <v>-171455.20882293794</v>
      </c>
      <c r="AI704" s="149">
        <f t="shared" si="309"/>
        <v>-169153.91025826687</v>
      </c>
      <c r="AJ704" s="149">
        <f t="shared" ref="AJ704:BO704" si="310">Annual_sleep_disturbance_valuation_hh_adj/Discount_factor</f>
        <v>-166883.50008199838</v>
      </c>
      <c r="AK704" s="149">
        <f t="shared" si="310"/>
        <v>-164643.56370536375</v>
      </c>
      <c r="AL704" s="149">
        <f t="shared" si="310"/>
        <v>-162433.6921042696</v>
      </c>
      <c r="AM704" s="149">
        <f t="shared" si="310"/>
        <v>-160253.48174460765</v>
      </c>
      <c r="AN704" s="149">
        <f t="shared" si="310"/>
        <v>-158298.50866514904</v>
      </c>
      <c r="AO704" s="149">
        <f t="shared" si="310"/>
        <v>-156214.97994221514</v>
      </c>
      <c r="AP704" s="149">
        <f t="shared" si="310"/>
        <v>-154907.218725529</v>
      </c>
      <c r="AQ704" s="149">
        <f t="shared" si="310"/>
        <v>-153610.4054947563</v>
      </c>
      <c r="AR704" s="149">
        <f t="shared" si="310"/>
        <v>-152324.44859830642</v>
      </c>
      <c r="AS704" s="149">
        <f t="shared" si="310"/>
        <v>-150949.81905390465</v>
      </c>
      <c r="AT704" s="149">
        <f t="shared" si="310"/>
        <v>-149587.594651302</v>
      </c>
      <c r="AU704" s="149">
        <f t="shared" si="310"/>
        <v>-148237.66344212403</v>
      </c>
      <c r="AV704" s="149">
        <f t="shared" si="310"/>
        <v>-146899.91448825784</v>
      </c>
      <c r="AW704" s="149">
        <f t="shared" si="310"/>
        <v>-145574.23785273512</v>
      </c>
      <c r="AX704" s="149">
        <f t="shared" si="310"/>
        <v>-144294.41642216087</v>
      </c>
      <c r="AY704" s="149">
        <f t="shared" si="310"/>
        <v>-143025.84659020955</v>
      </c>
      <c r="AZ704" s="149">
        <f t="shared" si="310"/>
        <v>-141906.87516989841</v>
      </c>
      <c r="BA704" s="149">
        <f t="shared" si="310"/>
        <v>-140796.65809063346</v>
      </c>
      <c r="BB704" s="149">
        <f t="shared" si="310"/>
        <v>-139831.41479094059</v>
      </c>
      <c r="BC704" s="149">
        <f t="shared" si="310"/>
        <v>-138880.86670854272</v>
      </c>
      <c r="BD704" s="149">
        <f t="shared" si="310"/>
        <v>-137933.19064205931</v>
      </c>
      <c r="BE704" s="149">
        <f t="shared" si="310"/>
        <v>-136991.98119656034</v>
      </c>
      <c r="BF704" s="149">
        <f t="shared" si="310"/>
        <v>-135924.58489489413</v>
      </c>
      <c r="BG704" s="149">
        <f t="shared" si="310"/>
        <v>-134865.50539290378</v>
      </c>
      <c r="BH704" s="149">
        <f t="shared" si="310"/>
        <v>-133796.81667893275</v>
      </c>
      <c r="BI704" s="149">
        <f t="shared" si="310"/>
        <v>-132736.59636882853</v>
      </c>
      <c r="BJ704" s="149">
        <f t="shared" si="310"/>
        <v>-131684.77735805156</v>
      </c>
      <c r="BK704" s="149">
        <f t="shared" si="310"/>
        <v>-130641.29307380592</v>
      </c>
      <c r="BL704" s="149">
        <f t="shared" si="310"/>
        <v>-129606.07747082562</v>
      </c>
      <c r="BM704" s="149">
        <f t="shared" si="310"/>
        <v>-128559.48841520619</v>
      </c>
      <c r="BN704" s="149">
        <f t="shared" si="310"/>
        <v>-127521.35072755281</v>
      </c>
      <c r="BO704" s="149">
        <f t="shared" si="310"/>
        <v>-126491.5961617663</v>
      </c>
      <c r="BP704" s="149">
        <f t="shared" ref="BP704:CP704" si="311">Annual_sleep_disturbance_valuation_hh_adj/Discount_factor</f>
        <v>-125470.1570228452</v>
      </c>
      <c r="BQ704" s="149">
        <f t="shared" si="311"/>
        <v>-124456.96616243574</v>
      </c>
      <c r="BR704" s="149">
        <f t="shared" si="311"/>
        <v>-123448.43040157667</v>
      </c>
      <c r="BS704" s="149">
        <f t="shared" si="311"/>
        <v>-122448.06730000934</v>
      </c>
      <c r="BT704" s="149">
        <f t="shared" si="311"/>
        <v>-121455.81063067228</v>
      </c>
      <c r="BU704" s="149">
        <f t="shared" si="311"/>
        <v>-120471.5947031742</v>
      </c>
      <c r="BV704" s="149">
        <f t="shared" si="311"/>
        <v>-119495.35435944526</v>
      </c>
      <c r="BW704" s="149">
        <f t="shared" si="311"/>
        <v>-118537.03590887124</v>
      </c>
      <c r="BX704" s="149">
        <f t="shared" si="311"/>
        <v>-117586.4028972637</v>
      </c>
      <c r="BY704" s="149">
        <f t="shared" si="311"/>
        <v>-116643.39368960763</v>
      </c>
      <c r="BZ704" s="149">
        <f t="shared" si="311"/>
        <v>-115707.94714518318</v>
      </c>
      <c r="CA704" s="149">
        <f t="shared" si="311"/>
        <v>-114780.00261360138</v>
      </c>
      <c r="CB704" s="149">
        <f t="shared" si="311"/>
        <v>0</v>
      </c>
      <c r="CC704" s="149">
        <f t="shared" si="311"/>
        <v>0</v>
      </c>
      <c r="CD704" s="149">
        <f t="shared" si="311"/>
        <v>0</v>
      </c>
      <c r="CE704" s="149">
        <f t="shared" si="311"/>
        <v>0</v>
      </c>
      <c r="CF704" s="149">
        <f t="shared" si="311"/>
        <v>0</v>
      </c>
      <c r="CG704" s="149">
        <f t="shared" si="311"/>
        <v>0</v>
      </c>
      <c r="CH704" s="149">
        <f t="shared" si="311"/>
        <v>0</v>
      </c>
      <c r="CI704" s="149">
        <f t="shared" si="311"/>
        <v>0</v>
      </c>
      <c r="CJ704" s="149">
        <f t="shared" si="311"/>
        <v>0</v>
      </c>
      <c r="CK704" s="149">
        <f t="shared" si="311"/>
        <v>0</v>
      </c>
      <c r="CL704" s="149">
        <f t="shared" si="311"/>
        <v>0</v>
      </c>
      <c r="CM704" s="149">
        <f t="shared" si="311"/>
        <v>0</v>
      </c>
      <c r="CN704" s="149">
        <f t="shared" si="311"/>
        <v>0</v>
      </c>
      <c r="CO704" s="149">
        <f t="shared" si="311"/>
        <v>0</v>
      </c>
      <c r="CP704" s="149">
        <f t="shared" si="311"/>
        <v>0</v>
      </c>
      <c r="CQ704" s="14" t="s">
        <v>503</v>
      </c>
    </row>
    <row r="705" spans="1:95" ht="15" hidden="1" outlineLevel="2" x14ac:dyDescent="0.25">
      <c r="A705" s="131"/>
      <c r="B705" s="131" t="s">
        <v>66</v>
      </c>
      <c r="C705" s="131"/>
      <c r="D705" s="149">
        <f t="shared" ref="D705:AI705" si="312">Annual_amenity_valuation_hh_adj/Discount_factor</f>
        <v>0</v>
      </c>
      <c r="E705" s="149">
        <f t="shared" si="312"/>
        <v>0</v>
      </c>
      <c r="F705" s="149">
        <f t="shared" si="312"/>
        <v>0</v>
      </c>
      <c r="G705" s="149">
        <f t="shared" si="312"/>
        <v>0</v>
      </c>
      <c r="H705" s="149">
        <f t="shared" si="312"/>
        <v>0</v>
      </c>
      <c r="I705" s="149">
        <f>Annual_amenity_valuation_hh_adj/Discount_factor</f>
        <v>0</v>
      </c>
      <c r="J705" s="149">
        <f t="shared" si="312"/>
        <v>0</v>
      </c>
      <c r="K705" s="149">
        <f t="shared" si="312"/>
        <v>0</v>
      </c>
      <c r="L705" s="149">
        <f t="shared" si="312"/>
        <v>0</v>
      </c>
      <c r="M705" s="149">
        <f t="shared" si="312"/>
        <v>0</v>
      </c>
      <c r="N705" s="149">
        <f t="shared" si="312"/>
        <v>0</v>
      </c>
      <c r="O705" s="149">
        <f t="shared" si="312"/>
        <v>0</v>
      </c>
      <c r="P705" s="149">
        <f t="shared" si="312"/>
        <v>0</v>
      </c>
      <c r="Q705" s="149">
        <f t="shared" si="312"/>
        <v>0</v>
      </c>
      <c r="R705" s="149">
        <f t="shared" si="312"/>
        <v>0</v>
      </c>
      <c r="S705" s="149">
        <f t="shared" si="312"/>
        <v>0</v>
      </c>
      <c r="T705" s="149">
        <f t="shared" si="312"/>
        <v>-180243.48937152568</v>
      </c>
      <c r="U705" s="149">
        <f t="shared" si="312"/>
        <v>-175568.31668251593</v>
      </c>
      <c r="V705" s="149">
        <f t="shared" si="312"/>
        <v>-171020.37149849179</v>
      </c>
      <c r="W705" s="149">
        <f t="shared" si="312"/>
        <v>-166594.94436255723</v>
      </c>
      <c r="X705" s="149">
        <f t="shared" si="312"/>
        <v>-162287.32634667816</v>
      </c>
      <c r="Y705" s="149">
        <f t="shared" si="312"/>
        <v>-158092.5983908968</v>
      </c>
      <c r="Z705" s="149">
        <f t="shared" si="312"/>
        <v>-154005.65453023661</v>
      </c>
      <c r="AA705" s="149">
        <f t="shared" si="312"/>
        <v>-150021.06296351724</v>
      </c>
      <c r="AB705" s="149">
        <f t="shared" si="312"/>
        <v>-146276.19517294949</v>
      </c>
      <c r="AC705" s="149">
        <f t="shared" si="312"/>
        <v>-142477.30900790732</v>
      </c>
      <c r="AD705" s="149">
        <f t="shared" si="312"/>
        <v>-138766.13224622884</v>
      </c>
      <c r="AE705" s="149">
        <f t="shared" si="312"/>
        <v>-136878.87726153614</v>
      </c>
      <c r="AF705" s="149">
        <f t="shared" si="312"/>
        <v>-135017.28942861588</v>
      </c>
      <c r="AG705" s="149">
        <f t="shared" si="312"/>
        <v>-133181.01966762182</v>
      </c>
      <c r="AH705" s="149">
        <f t="shared" si="312"/>
        <v>-131369.72364628289</v>
      </c>
      <c r="AI705" s="149">
        <f t="shared" si="312"/>
        <v>-129606.45871811948</v>
      </c>
      <c r="AJ705" s="149">
        <f t="shared" ref="AJ705:BO705" si="313">Annual_amenity_valuation_hh_adj/Discount_factor</f>
        <v>-127866.86060694094</v>
      </c>
      <c r="AK705" s="149">
        <f t="shared" si="313"/>
        <v>-126150.61165303703</v>
      </c>
      <c r="AL705" s="149">
        <f t="shared" si="313"/>
        <v>-124457.39846037565</v>
      </c>
      <c r="AM705" s="149">
        <f t="shared" si="313"/>
        <v>-122786.91183937521</v>
      </c>
      <c r="AN705" s="149">
        <f t="shared" si="313"/>
        <v>-121289.00299806599</v>
      </c>
      <c r="AO705" s="149">
        <f t="shared" si="313"/>
        <v>-119692.59426589627</v>
      </c>
      <c r="AP705" s="149">
        <f t="shared" si="313"/>
        <v>-118690.58195719586</v>
      </c>
      <c r="AQ705" s="149">
        <f t="shared" si="313"/>
        <v>-117696.95804272273</v>
      </c>
      <c r="AR705" s="149">
        <f t="shared" si="313"/>
        <v>-116711.65229863123</v>
      </c>
      <c r="AS705" s="149">
        <f t="shared" si="313"/>
        <v>-115658.40518759962</v>
      </c>
      <c r="AT705" s="149">
        <f t="shared" si="313"/>
        <v>-114614.66294994653</v>
      </c>
      <c r="AU705" s="149">
        <f t="shared" si="313"/>
        <v>-113580.33981034253</v>
      </c>
      <c r="AV705" s="149">
        <f t="shared" si="313"/>
        <v>-112555.35076752499</v>
      </c>
      <c r="AW705" s="149">
        <f t="shared" si="313"/>
        <v>-111539.6115873126</v>
      </c>
      <c r="AX705" s="149">
        <f t="shared" si="313"/>
        <v>-110559.00686375033</v>
      </c>
      <c r="AY705" s="149">
        <f t="shared" si="313"/>
        <v>-109587.02316378844</v>
      </c>
      <c r="AZ705" s="149">
        <f t="shared" si="313"/>
        <v>-108729.66241480023</v>
      </c>
      <c r="BA705" s="149">
        <f t="shared" si="313"/>
        <v>-107879.00927984044</v>
      </c>
      <c r="BB705" s="149">
        <f t="shared" si="313"/>
        <v>-107139.43568273245</v>
      </c>
      <c r="BC705" s="149">
        <f t="shared" si="313"/>
        <v>-106411.12162476721</v>
      </c>
      <c r="BD705" s="149">
        <f t="shared" si="313"/>
        <v>-105685.00811783556</v>
      </c>
      <c r="BE705" s="149">
        <f t="shared" si="313"/>
        <v>-104963.8493639119</v>
      </c>
      <c r="BF705" s="149">
        <f t="shared" si="313"/>
        <v>-104146.00569422344</v>
      </c>
      <c r="BG705" s="149">
        <f t="shared" si="313"/>
        <v>-103334.53439247023</v>
      </c>
      <c r="BH705" s="149">
        <f t="shared" si="313"/>
        <v>-102515.70047087582</v>
      </c>
      <c r="BI705" s="149">
        <f t="shared" si="313"/>
        <v>-101703.35507700444</v>
      </c>
      <c r="BJ705" s="149">
        <f t="shared" si="313"/>
        <v>-100897.44679506727</v>
      </c>
      <c r="BK705" s="149">
        <f t="shared" si="313"/>
        <v>-100097.92461669966</v>
      </c>
      <c r="BL705" s="149">
        <f t="shared" si="313"/>
        <v>-99304.737937732745</v>
      </c>
      <c r="BM705" s="149">
        <f t="shared" si="313"/>
        <v>-98502.836870090439</v>
      </c>
      <c r="BN705" s="149">
        <f t="shared" si="313"/>
        <v>-97707.411277190229</v>
      </c>
      <c r="BO705" s="149">
        <f t="shared" si="313"/>
        <v>-96918.408868575294</v>
      </c>
      <c r="BP705" s="149">
        <f t="shared" ref="BP705:CP705" si="314">Annual_amenity_valuation_hh_adj/Discount_factor</f>
        <v>-96135.777776042349</v>
      </c>
      <c r="BQ705" s="149">
        <f t="shared" si="314"/>
        <v>-95359.466550231838</v>
      </c>
      <c r="BR705" s="149">
        <f t="shared" si="314"/>
        <v>-94586.722081860076</v>
      </c>
      <c r="BS705" s="149">
        <f t="shared" si="314"/>
        <v>-93820.239540436974</v>
      </c>
      <c r="BT705" s="149">
        <f t="shared" si="314"/>
        <v>-93059.968182501107</v>
      </c>
      <c r="BU705" s="149">
        <f t="shared" si="314"/>
        <v>-92305.857675790176</v>
      </c>
      <c r="BV705" s="149">
        <f t="shared" si="314"/>
        <v>-91557.858095908858</v>
      </c>
      <c r="BW705" s="149">
        <f t="shared" si="314"/>
        <v>-90823.59034819025</v>
      </c>
      <c r="BX705" s="149">
        <f t="shared" si="314"/>
        <v>-90095.211217096687</v>
      </c>
      <c r="BY705" s="149">
        <f t="shared" si="314"/>
        <v>-89372.673477612712</v>
      </c>
      <c r="BZ705" s="149">
        <f t="shared" si="314"/>
        <v>-88655.930283453941</v>
      </c>
      <c r="CA705" s="149">
        <f t="shared" si="314"/>
        <v>-87944.935164029666</v>
      </c>
      <c r="CB705" s="149">
        <f t="shared" si="314"/>
        <v>0</v>
      </c>
      <c r="CC705" s="149">
        <f t="shared" si="314"/>
        <v>0</v>
      </c>
      <c r="CD705" s="149">
        <f t="shared" si="314"/>
        <v>0</v>
      </c>
      <c r="CE705" s="149">
        <f t="shared" si="314"/>
        <v>0</v>
      </c>
      <c r="CF705" s="149">
        <f t="shared" si="314"/>
        <v>0</v>
      </c>
      <c r="CG705" s="149">
        <f t="shared" si="314"/>
        <v>0</v>
      </c>
      <c r="CH705" s="149">
        <f t="shared" si="314"/>
        <v>0</v>
      </c>
      <c r="CI705" s="149">
        <f t="shared" si="314"/>
        <v>0</v>
      </c>
      <c r="CJ705" s="149">
        <f t="shared" si="314"/>
        <v>0</v>
      </c>
      <c r="CK705" s="149">
        <f t="shared" si="314"/>
        <v>0</v>
      </c>
      <c r="CL705" s="149">
        <f t="shared" si="314"/>
        <v>0</v>
      </c>
      <c r="CM705" s="149">
        <f t="shared" si="314"/>
        <v>0</v>
      </c>
      <c r="CN705" s="149">
        <f t="shared" si="314"/>
        <v>0</v>
      </c>
      <c r="CO705" s="149">
        <f t="shared" si="314"/>
        <v>0</v>
      </c>
      <c r="CP705" s="149">
        <f t="shared" si="314"/>
        <v>0</v>
      </c>
      <c r="CQ705" s="14" t="s">
        <v>504</v>
      </c>
    </row>
    <row r="706" spans="1:95" ht="15" hidden="1" outlineLevel="2" x14ac:dyDescent="0.25">
      <c r="A706" s="131"/>
      <c r="B706" s="131" t="s">
        <v>67</v>
      </c>
      <c r="C706" s="131"/>
      <c r="D706" s="149">
        <f t="shared" ref="D706:AI706" si="315">Annual_AMI_valuation_hh_adj/Discount_factor</f>
        <v>0</v>
      </c>
      <c r="E706" s="149">
        <f t="shared" si="315"/>
        <v>0</v>
      </c>
      <c r="F706" s="149">
        <f t="shared" si="315"/>
        <v>0</v>
      </c>
      <c r="G706" s="149">
        <f t="shared" si="315"/>
        <v>0</v>
      </c>
      <c r="H706" s="149">
        <f t="shared" si="315"/>
        <v>0</v>
      </c>
      <c r="I706" s="149">
        <f>Annual_AMI_valuation_hh_adj/Discount_factor</f>
        <v>0</v>
      </c>
      <c r="J706" s="149">
        <f t="shared" si="315"/>
        <v>0</v>
      </c>
      <c r="K706" s="149">
        <f t="shared" si="315"/>
        <v>0</v>
      </c>
      <c r="L706" s="149">
        <f t="shared" si="315"/>
        <v>0</v>
      </c>
      <c r="M706" s="149">
        <f t="shared" si="315"/>
        <v>0</v>
      </c>
      <c r="N706" s="149">
        <f t="shared" si="315"/>
        <v>0</v>
      </c>
      <c r="O706" s="149">
        <f t="shared" si="315"/>
        <v>0</v>
      </c>
      <c r="P706" s="149">
        <f t="shared" si="315"/>
        <v>0</v>
      </c>
      <c r="Q706" s="149">
        <f t="shared" si="315"/>
        <v>0</v>
      </c>
      <c r="R706" s="149">
        <f t="shared" si="315"/>
        <v>0</v>
      </c>
      <c r="S706" s="149">
        <f t="shared" si="315"/>
        <v>0</v>
      </c>
      <c r="T706" s="149">
        <f t="shared" si="315"/>
        <v>-14963.777619974246</v>
      </c>
      <c r="U706" s="149">
        <f t="shared" si="315"/>
        <v>-14537.095580657468</v>
      </c>
      <c r="V706" s="149">
        <f t="shared" si="315"/>
        <v>-14122.110732023733</v>
      </c>
      <c r="W706" s="149">
        <f t="shared" si="315"/>
        <v>-13718.389063047936</v>
      </c>
      <c r="X706" s="149">
        <f t="shared" si="315"/>
        <v>-13325.498865169888</v>
      </c>
      <c r="Y706" s="149">
        <f t="shared" si="315"/>
        <v>-12942.993619255498</v>
      </c>
      <c r="Z706" s="149">
        <f t="shared" si="315"/>
        <v>-12570.414294576311</v>
      </c>
      <c r="AA706" s="149">
        <f t="shared" si="315"/>
        <v>-12207.278447174509</v>
      </c>
      <c r="AB706" s="149">
        <f t="shared" si="315"/>
        <v>-11864.690258836574</v>
      </c>
      <c r="AC706" s="149">
        <f t="shared" si="315"/>
        <v>-11518.752294284583</v>
      </c>
      <c r="AD706" s="149">
        <f t="shared" si="315"/>
        <v>-11180.966833953269</v>
      </c>
      <c r="AE706" s="149">
        <f t="shared" si="315"/>
        <v>-11028.902817687258</v>
      </c>
      <c r="AF706" s="149">
        <f t="shared" si="315"/>
        <v>-10878.906911038805</v>
      </c>
      <c r="AG706" s="149">
        <f t="shared" si="315"/>
        <v>-10730.950987186758</v>
      </c>
      <c r="AH706" s="149">
        <f t="shared" si="315"/>
        <v>-10585.007301841933</v>
      </c>
      <c r="AI706" s="149">
        <f t="shared" si="315"/>
        <v>-10442.933682276855</v>
      </c>
      <c r="AJ706" s="149">
        <f t="shared" ref="AJ706:BO706" si="316">Annual_AMI_valuation_hh_adj/Discount_factor</f>
        <v>-10302.76699700107</v>
      </c>
      <c r="AK706" s="149">
        <f t="shared" si="316"/>
        <v>-10164.481650845015</v>
      </c>
      <c r="AL706" s="149">
        <f t="shared" si="316"/>
        <v>-10028.05239218148</v>
      </c>
      <c r="AM706" s="149">
        <f t="shared" si="316"/>
        <v>-9893.4543083145436</v>
      </c>
      <c r="AN706" s="149">
        <f t="shared" si="316"/>
        <v>-9772.7615369310624</v>
      </c>
      <c r="AO706" s="149">
        <f t="shared" si="316"/>
        <v>-9644.1322179546514</v>
      </c>
      <c r="AP706" s="149">
        <f t="shared" si="316"/>
        <v>-9563.3959013229196</v>
      </c>
      <c r="AQ706" s="149">
        <f t="shared" si="316"/>
        <v>-9483.3354726483376</v>
      </c>
      <c r="AR706" s="149">
        <f t="shared" si="316"/>
        <v>-9403.9452737023694</v>
      </c>
      <c r="AS706" s="149">
        <f t="shared" si="316"/>
        <v>-9319.0807550638765</v>
      </c>
      <c r="AT706" s="149">
        <f t="shared" si="316"/>
        <v>-9234.9820837707412</v>
      </c>
      <c r="AU706" s="149">
        <f t="shared" si="316"/>
        <v>-9151.6423485464293</v>
      </c>
      <c r="AV706" s="149">
        <f t="shared" si="316"/>
        <v>-9069.0547004841992</v>
      </c>
      <c r="AW706" s="149">
        <f t="shared" si="316"/>
        <v>-8987.2123524842591</v>
      </c>
      <c r="AX706" s="149">
        <f t="shared" si="316"/>
        <v>-8908.2009343962127</v>
      </c>
      <c r="AY706" s="149">
        <f t="shared" si="316"/>
        <v>-8829.8841481854888</v>
      </c>
      <c r="AZ706" s="149">
        <f t="shared" si="316"/>
        <v>-8760.8030118592214</v>
      </c>
      <c r="BA706" s="149">
        <f t="shared" si="316"/>
        <v>-8692.2623360096768</v>
      </c>
      <c r="BB706" s="149">
        <f t="shared" si="316"/>
        <v>-8632.6718024502425</v>
      </c>
      <c r="BC706" s="149">
        <f t="shared" si="316"/>
        <v>-8573.9884969851755</v>
      </c>
      <c r="BD706" s="149">
        <f t="shared" si="316"/>
        <v>-8515.4824991075202</v>
      </c>
      <c r="BE706" s="149">
        <f t="shared" si="316"/>
        <v>-8457.3757263733205</v>
      </c>
      <c r="BF706" s="149">
        <f t="shared" si="316"/>
        <v>-8391.4786461699205</v>
      </c>
      <c r="BG706" s="149">
        <f t="shared" si="316"/>
        <v>-8326.0950142653564</v>
      </c>
      <c r="BH706" s="149">
        <f t="shared" si="316"/>
        <v>-8260.1181453300906</v>
      </c>
      <c r="BI706" s="149">
        <f t="shared" si="316"/>
        <v>-8194.6640841729077</v>
      </c>
      <c r="BJ706" s="149">
        <f t="shared" si="316"/>
        <v>-8129.7286880089587</v>
      </c>
      <c r="BK706" s="149">
        <f t="shared" si="316"/>
        <v>-8065.3078468812682</v>
      </c>
      <c r="BL706" s="149">
        <f t="shared" si="316"/>
        <v>-8001.397483400604</v>
      </c>
      <c r="BM706" s="149">
        <f t="shared" si="316"/>
        <v>-7936.7849652285831</v>
      </c>
      <c r="BN706" s="149">
        <f t="shared" si="316"/>
        <v>-7872.6942031014541</v>
      </c>
      <c r="BO706" s="149">
        <f t="shared" si="316"/>
        <v>-7809.1209837587166</v>
      </c>
      <c r="BP706" s="149">
        <f t="shared" ref="BP706:CP706" si="317">Annual_AMI_valuation_hh_adj/Discount_factor</f>
        <v>-7746.0611279626037</v>
      </c>
      <c r="BQ706" s="149">
        <f t="shared" si="317"/>
        <v>-7683.5104902233388</v>
      </c>
      <c r="BR706" s="149">
        <f t="shared" si="317"/>
        <v>-7621.2472410275304</v>
      </c>
      <c r="BS706" s="149">
        <f t="shared" si="317"/>
        <v>-7559.4885414390083</v>
      </c>
      <c r="BT706" s="149">
        <f t="shared" si="317"/>
        <v>-7498.2303028451552</v>
      </c>
      <c r="BU706" s="149">
        <f t="shared" si="317"/>
        <v>-7437.4684697653856</v>
      </c>
      <c r="BV706" s="149">
        <f t="shared" si="317"/>
        <v>-7377.1990195826575</v>
      </c>
      <c r="BW706" s="149">
        <f t="shared" si="317"/>
        <v>-7318.0360004684853</v>
      </c>
      <c r="BX706" s="149">
        <f t="shared" si="317"/>
        <v>-7259.3474517896911</v>
      </c>
      <c r="BY706" s="149">
        <f t="shared" si="317"/>
        <v>-7201.1295684295428</v>
      </c>
      <c r="BZ706" s="149">
        <f t="shared" si="317"/>
        <v>-7143.378575787252</v>
      </c>
      <c r="CA706" s="149">
        <f t="shared" si="317"/>
        <v>-7086.0907295332427</v>
      </c>
      <c r="CB706" s="149">
        <f t="shared" si="317"/>
        <v>0</v>
      </c>
      <c r="CC706" s="149">
        <f t="shared" si="317"/>
        <v>0</v>
      </c>
      <c r="CD706" s="149">
        <f t="shared" si="317"/>
        <v>0</v>
      </c>
      <c r="CE706" s="149">
        <f t="shared" si="317"/>
        <v>0</v>
      </c>
      <c r="CF706" s="149">
        <f t="shared" si="317"/>
        <v>0</v>
      </c>
      <c r="CG706" s="149">
        <f t="shared" si="317"/>
        <v>0</v>
      </c>
      <c r="CH706" s="149">
        <f t="shared" si="317"/>
        <v>0</v>
      </c>
      <c r="CI706" s="149">
        <f t="shared" si="317"/>
        <v>0</v>
      </c>
      <c r="CJ706" s="149">
        <f t="shared" si="317"/>
        <v>0</v>
      </c>
      <c r="CK706" s="149">
        <f t="shared" si="317"/>
        <v>0</v>
      </c>
      <c r="CL706" s="149">
        <f t="shared" si="317"/>
        <v>0</v>
      </c>
      <c r="CM706" s="149">
        <f t="shared" si="317"/>
        <v>0</v>
      </c>
      <c r="CN706" s="149">
        <f t="shared" si="317"/>
        <v>0</v>
      </c>
      <c r="CO706" s="149">
        <f t="shared" si="317"/>
        <v>0</v>
      </c>
      <c r="CP706" s="149">
        <f t="shared" si="317"/>
        <v>0</v>
      </c>
      <c r="CQ706" s="14" t="s">
        <v>505</v>
      </c>
    </row>
    <row r="707" spans="1:95" ht="15" hidden="1" outlineLevel="2" x14ac:dyDescent="0.25">
      <c r="A707" s="131"/>
      <c r="B707" s="131" t="s">
        <v>68</v>
      </c>
      <c r="C707" s="131"/>
      <c r="D707" s="149">
        <f t="shared" ref="D707:AI707" si="318">Annual_stroke_valuation_hh_adj/Discount_factor</f>
        <v>0</v>
      </c>
      <c r="E707" s="149">
        <f t="shared" si="318"/>
        <v>0</v>
      </c>
      <c r="F707" s="149">
        <f t="shared" si="318"/>
        <v>0</v>
      </c>
      <c r="G707" s="149">
        <f t="shared" si="318"/>
        <v>0</v>
      </c>
      <c r="H707" s="149">
        <f t="shared" si="318"/>
        <v>0</v>
      </c>
      <c r="I707" s="149">
        <f>Annual_stroke_valuation_hh_adj/Discount_factor</f>
        <v>0</v>
      </c>
      <c r="J707" s="149">
        <f t="shared" si="318"/>
        <v>0</v>
      </c>
      <c r="K707" s="149">
        <f t="shared" si="318"/>
        <v>0</v>
      </c>
      <c r="L707" s="149">
        <f t="shared" si="318"/>
        <v>0</v>
      </c>
      <c r="M707" s="149">
        <f t="shared" si="318"/>
        <v>0</v>
      </c>
      <c r="N707" s="149">
        <f t="shared" si="318"/>
        <v>0</v>
      </c>
      <c r="O707" s="149">
        <f t="shared" si="318"/>
        <v>0</v>
      </c>
      <c r="P707" s="149">
        <f t="shared" si="318"/>
        <v>0</v>
      </c>
      <c r="Q707" s="149">
        <f t="shared" si="318"/>
        <v>0</v>
      </c>
      <c r="R707" s="149">
        <f t="shared" si="318"/>
        <v>0</v>
      </c>
      <c r="S707" s="149">
        <f t="shared" si="318"/>
        <v>0</v>
      </c>
      <c r="T707" s="149">
        <f t="shared" si="318"/>
        <v>-25961.961751846811</v>
      </c>
      <c r="U707" s="149">
        <f t="shared" si="318"/>
        <v>-25320.203806813497</v>
      </c>
      <c r="V707" s="149">
        <f t="shared" si="318"/>
        <v>-24695.839942468705</v>
      </c>
      <c r="W707" s="149">
        <f t="shared" si="318"/>
        <v>-24088.227142498363</v>
      </c>
      <c r="X707" s="149">
        <f t="shared" si="318"/>
        <v>-23496.720612710749</v>
      </c>
      <c r="Y707" s="149">
        <f t="shared" si="318"/>
        <v>-22920.643129180196</v>
      </c>
      <c r="Z707" s="149">
        <f t="shared" si="318"/>
        <v>-22359.288079513302</v>
      </c>
      <c r="AA707" s="149">
        <f t="shared" si="318"/>
        <v>-21811.898932299402</v>
      </c>
      <c r="AB707" s="149">
        <f t="shared" si="318"/>
        <v>-21298.509013819399</v>
      </c>
      <c r="AC707" s="149">
        <f t="shared" si="318"/>
        <v>-20776.406807974938</v>
      </c>
      <c r="AD707" s="149">
        <f t="shared" si="318"/>
        <v>-20266.223200823017</v>
      </c>
      <c r="AE707" s="149">
        <f t="shared" si="318"/>
        <v>-19990.597368081773</v>
      </c>
      <c r="AF707" s="149">
        <f t="shared" si="318"/>
        <v>-19718.720117349196</v>
      </c>
      <c r="AG707" s="149">
        <f t="shared" si="318"/>
        <v>-19450.54046694866</v>
      </c>
      <c r="AH707" s="149">
        <f t="shared" si="318"/>
        <v>-19186.00812856741</v>
      </c>
      <c r="AI707" s="149">
        <f t="shared" si="318"/>
        <v>-18928.490533907247</v>
      </c>
      <c r="AJ707" s="149">
        <f t="shared" ref="AJ707:BO707" si="319">Annual_stroke_valuation_hh_adj/Discount_factor</f>
        <v>-18674.42938058262</v>
      </c>
      <c r="AK707" s="149">
        <f t="shared" si="319"/>
        <v>-18423.778275698623</v>
      </c>
      <c r="AL707" s="149">
        <f t="shared" si="319"/>
        <v>-18176.491449053028</v>
      </c>
      <c r="AM707" s="149">
        <f t="shared" si="319"/>
        <v>-17932.523744778384</v>
      </c>
      <c r="AN707" s="149">
        <f t="shared" si="319"/>
        <v>-17713.760315827341</v>
      </c>
      <c r="AO707" s="149">
        <f t="shared" si="319"/>
        <v>-17480.611382710966</v>
      </c>
      <c r="AP707" s="149">
        <f t="shared" si="319"/>
        <v>-17334.271603909165</v>
      </c>
      <c r="AQ707" s="149">
        <f t="shared" si="319"/>
        <v>-17189.156915602827</v>
      </c>
      <c r="AR707" s="149">
        <f t="shared" si="319"/>
        <v>-17045.257061887947</v>
      </c>
      <c r="AS707" s="149">
        <f t="shared" si="319"/>
        <v>-16891.434650812076</v>
      </c>
      <c r="AT707" s="149">
        <f t="shared" si="319"/>
        <v>-16739.000387422286</v>
      </c>
      <c r="AU707" s="149">
        <f t="shared" si="319"/>
        <v>-16587.941744584306</v>
      </c>
      <c r="AV707" s="149">
        <f t="shared" si="319"/>
        <v>-16438.24630821314</v>
      </c>
      <c r="AW707" s="149">
        <f t="shared" si="319"/>
        <v>-16289.90177625286</v>
      </c>
      <c r="AX707" s="149">
        <f t="shared" si="319"/>
        <v>-16146.688487262209</v>
      </c>
      <c r="AY707" s="149">
        <f t="shared" si="319"/>
        <v>-16004.734263330707</v>
      </c>
      <c r="AZ707" s="149">
        <f t="shared" si="319"/>
        <v>-15879.520250218424</v>
      </c>
      <c r="BA707" s="149">
        <f t="shared" si="319"/>
        <v>-15755.285856562596</v>
      </c>
      <c r="BB707" s="149">
        <f t="shared" si="319"/>
        <v>-15647.274172805131</v>
      </c>
      <c r="BC707" s="149">
        <f t="shared" si="319"/>
        <v>-15540.906898455869</v>
      </c>
      <c r="BD707" s="149">
        <f t="shared" si="319"/>
        <v>-15434.861005539451</v>
      </c>
      <c r="BE707" s="149">
        <f t="shared" si="319"/>
        <v>-15329.538733932781</v>
      </c>
      <c r="BF707" s="149">
        <f t="shared" si="319"/>
        <v>-15210.096027812842</v>
      </c>
      <c r="BG707" s="149">
        <f t="shared" si="319"/>
        <v>-15091.583979835519</v>
      </c>
      <c r="BH707" s="149">
        <f t="shared" si="319"/>
        <v>-14971.996651495259</v>
      </c>
      <c r="BI707" s="149">
        <f t="shared" si="319"/>
        <v>-14853.356945957128</v>
      </c>
      <c r="BJ707" s="149">
        <f t="shared" si="319"/>
        <v>-14735.657354156519</v>
      </c>
      <c r="BK707" s="149">
        <f t="shared" si="319"/>
        <v>-14618.89042653145</v>
      </c>
      <c r="BL707" s="149">
        <f t="shared" si="319"/>
        <v>-14503.048772551074</v>
      </c>
      <c r="BM707" s="149">
        <f t="shared" si="319"/>
        <v>-14385.934417926122</v>
      </c>
      <c r="BN707" s="149">
        <f t="shared" si="319"/>
        <v>-14269.765779769094</v>
      </c>
      <c r="BO707" s="149">
        <f t="shared" si="319"/>
        <v>-14154.535221273711</v>
      </c>
      <c r="BP707" s="149">
        <f t="shared" ref="BP707:CP707" si="320">Annual_stroke_valuation_hh_adj/Discount_factor</f>
        <v>-14040.235167302093</v>
      </c>
      <c r="BQ707" s="149">
        <f t="shared" si="320"/>
        <v>-13926.858103886767</v>
      </c>
      <c r="BR707" s="149">
        <f t="shared" si="320"/>
        <v>-13814.001950733815</v>
      </c>
      <c r="BS707" s="149">
        <f t="shared" si="320"/>
        <v>-13702.060326271358</v>
      </c>
      <c r="BT707" s="149">
        <f t="shared" si="320"/>
        <v>-13591.025819625447</v>
      </c>
      <c r="BU707" s="149">
        <f t="shared" si="320"/>
        <v>-13480.891079976071</v>
      </c>
      <c r="BV707" s="149">
        <f t="shared" si="320"/>
        <v>-13371.64881607051</v>
      </c>
      <c r="BW707" s="149">
        <f t="shared" si="320"/>
        <v>-13264.412029806075</v>
      </c>
      <c r="BX707" s="149">
        <f t="shared" si="320"/>
        <v>-13158.035251793912</v>
      </c>
      <c r="BY707" s="149">
        <f t="shared" si="320"/>
        <v>-13052.511585014634</v>
      </c>
      <c r="BZ707" s="149">
        <f t="shared" si="320"/>
        <v>-12947.834187760971</v>
      </c>
      <c r="CA707" s="149">
        <f t="shared" si="320"/>
        <v>-12843.99627319418</v>
      </c>
      <c r="CB707" s="149">
        <f t="shared" si="320"/>
        <v>0</v>
      </c>
      <c r="CC707" s="149">
        <f t="shared" si="320"/>
        <v>0</v>
      </c>
      <c r="CD707" s="149">
        <f t="shared" si="320"/>
        <v>0</v>
      </c>
      <c r="CE707" s="149">
        <f t="shared" si="320"/>
        <v>0</v>
      </c>
      <c r="CF707" s="149">
        <f t="shared" si="320"/>
        <v>0</v>
      </c>
      <c r="CG707" s="149">
        <f t="shared" si="320"/>
        <v>0</v>
      </c>
      <c r="CH707" s="149">
        <f t="shared" si="320"/>
        <v>0</v>
      </c>
      <c r="CI707" s="149">
        <f t="shared" si="320"/>
        <v>0</v>
      </c>
      <c r="CJ707" s="149">
        <f t="shared" si="320"/>
        <v>0</v>
      </c>
      <c r="CK707" s="149">
        <f t="shared" si="320"/>
        <v>0</v>
      </c>
      <c r="CL707" s="149">
        <f t="shared" si="320"/>
        <v>0</v>
      </c>
      <c r="CM707" s="149">
        <f t="shared" si="320"/>
        <v>0</v>
      </c>
      <c r="CN707" s="149">
        <f t="shared" si="320"/>
        <v>0</v>
      </c>
      <c r="CO707" s="149">
        <f t="shared" si="320"/>
        <v>0</v>
      </c>
      <c r="CP707" s="149">
        <f t="shared" si="320"/>
        <v>0</v>
      </c>
      <c r="CQ707" s="14" t="s">
        <v>506</v>
      </c>
    </row>
    <row r="708" spans="1:95" ht="15" hidden="1" outlineLevel="2" x14ac:dyDescent="0.25">
      <c r="A708" s="131"/>
      <c r="B708" s="131" t="s">
        <v>69</v>
      </c>
      <c r="C708" s="131"/>
      <c r="D708" s="149">
        <f t="shared" ref="D708:AI708" si="321">Annual_dementia_valuation_hh_adj/Discount_factor</f>
        <v>0</v>
      </c>
      <c r="E708" s="149">
        <f t="shared" si="321"/>
        <v>0</v>
      </c>
      <c r="F708" s="149">
        <f t="shared" si="321"/>
        <v>0</v>
      </c>
      <c r="G708" s="149">
        <f t="shared" si="321"/>
        <v>0</v>
      </c>
      <c r="H708" s="149">
        <f t="shared" si="321"/>
        <v>0</v>
      </c>
      <c r="I708" s="149">
        <f>Annual_dementia_valuation_hh_adj/Discount_factor</f>
        <v>0</v>
      </c>
      <c r="J708" s="149">
        <f t="shared" si="321"/>
        <v>0</v>
      </c>
      <c r="K708" s="149">
        <f t="shared" si="321"/>
        <v>0</v>
      </c>
      <c r="L708" s="149">
        <f t="shared" si="321"/>
        <v>0</v>
      </c>
      <c r="M708" s="149">
        <f t="shared" si="321"/>
        <v>0</v>
      </c>
      <c r="N708" s="149">
        <f t="shared" si="321"/>
        <v>0</v>
      </c>
      <c r="O708" s="149">
        <f t="shared" si="321"/>
        <v>0</v>
      </c>
      <c r="P708" s="149">
        <f t="shared" si="321"/>
        <v>0</v>
      </c>
      <c r="Q708" s="149">
        <f t="shared" si="321"/>
        <v>0</v>
      </c>
      <c r="R708" s="149">
        <f t="shared" si="321"/>
        <v>0</v>
      </c>
      <c r="S708" s="149">
        <f t="shared" si="321"/>
        <v>0</v>
      </c>
      <c r="T708" s="149">
        <f t="shared" si="321"/>
        <v>-39259.916672380008</v>
      </c>
      <c r="U708" s="149">
        <f t="shared" si="321"/>
        <v>-38289.517248954035</v>
      </c>
      <c r="V708" s="149">
        <f t="shared" si="321"/>
        <v>-37345.419170090747</v>
      </c>
      <c r="W708" s="149">
        <f t="shared" si="321"/>
        <v>-36426.650141917999</v>
      </c>
      <c r="X708" s="149">
        <f t="shared" si="321"/>
        <v>-35532.235177774084</v>
      </c>
      <c r="Y708" s="149">
        <f t="shared" si="321"/>
        <v>-34661.150245479083</v>
      </c>
      <c r="Z708" s="149">
        <f t="shared" si="321"/>
        <v>-33812.326865665382</v>
      </c>
      <c r="AA708" s="149">
        <f t="shared" si="321"/>
        <v>-32984.621064097591</v>
      </c>
      <c r="AB708" s="149">
        <f t="shared" si="321"/>
        <v>-32208.32798795871</v>
      </c>
      <c r="AC708" s="149">
        <f t="shared" si="321"/>
        <v>-31418.857967122432</v>
      </c>
      <c r="AD708" s="149">
        <f t="shared" si="321"/>
        <v>-30647.40971530541</v>
      </c>
      <c r="AE708" s="149">
        <f t="shared" si="321"/>
        <v>-30230.597083744138</v>
      </c>
      <c r="AF708" s="149">
        <f t="shared" si="321"/>
        <v>-29819.453210862401</v>
      </c>
      <c r="AG708" s="149">
        <f t="shared" si="321"/>
        <v>-29413.901000088423</v>
      </c>
      <c r="AH708" s="149">
        <f t="shared" si="321"/>
        <v>-29013.864403383581</v>
      </c>
      <c r="AI708" s="149">
        <f t="shared" si="321"/>
        <v>-28624.435788379993</v>
      </c>
      <c r="AJ708" s="149">
        <f t="shared" ref="AJ708:BO708" si="322">Annual_dementia_valuation_hh_adj/Discount_factor</f>
        <v>-28240.234145008842</v>
      </c>
      <c r="AK708" s="149">
        <f t="shared" si="322"/>
        <v>-27861.189316041309</v>
      </c>
      <c r="AL708" s="149">
        <f t="shared" si="322"/>
        <v>-27487.232085909865</v>
      </c>
      <c r="AM708" s="149">
        <f t="shared" si="322"/>
        <v>-27118.294168069126</v>
      </c>
      <c r="AN708" s="149">
        <f t="shared" si="322"/>
        <v>-26787.471183867736</v>
      </c>
      <c r="AO708" s="149">
        <f t="shared" si="322"/>
        <v>-26434.893853247308</v>
      </c>
      <c r="AP708" s="149">
        <f t="shared" si="322"/>
        <v>-26213.592868147931</v>
      </c>
      <c r="AQ708" s="149">
        <f t="shared" si="322"/>
        <v>-25994.144514887292</v>
      </c>
      <c r="AR708" s="149">
        <f t="shared" si="322"/>
        <v>-25776.53328406885</v>
      </c>
      <c r="AS708" s="149">
        <f t="shared" si="322"/>
        <v>-25543.916757105551</v>
      </c>
      <c r="AT708" s="149">
        <f t="shared" si="322"/>
        <v>-25313.399443718423</v>
      </c>
      <c r="AU708" s="149">
        <f t="shared" si="322"/>
        <v>-25084.962399863824</v>
      </c>
      <c r="AV708" s="149">
        <f t="shared" si="322"/>
        <v>-24858.586852455843</v>
      </c>
      <c r="AW708" s="149">
        <f t="shared" si="322"/>
        <v>-24634.254197823517</v>
      </c>
      <c r="AX708" s="149">
        <f t="shared" si="322"/>
        <v>-24417.68121819726</v>
      </c>
      <c r="AY708" s="149">
        <f t="shared" si="322"/>
        <v>-24203.01224813133</v>
      </c>
      <c r="AZ708" s="149">
        <f t="shared" si="322"/>
        <v>-24013.658507973476</v>
      </c>
      <c r="BA708" s="149">
        <f t="shared" si="322"/>
        <v>-23825.786188332382</v>
      </c>
      <c r="BB708" s="149">
        <f t="shared" si="322"/>
        <v>-23662.446512589519</v>
      </c>
      <c r="BC708" s="149">
        <f t="shared" si="322"/>
        <v>-23501.593579856111</v>
      </c>
      <c r="BD708" s="149">
        <f t="shared" si="322"/>
        <v>-23341.226653239864</v>
      </c>
      <c r="BE708" s="149">
        <f t="shared" si="322"/>
        <v>-23181.954016296579</v>
      </c>
      <c r="BF708" s="149">
        <f t="shared" si="322"/>
        <v>-23001.32788207864</v>
      </c>
      <c r="BG708" s="149">
        <f t="shared" si="322"/>
        <v>-22822.109127080748</v>
      </c>
      <c r="BH708" s="149">
        <f t="shared" si="322"/>
        <v>-22641.264289239727</v>
      </c>
      <c r="BI708" s="149">
        <f t="shared" si="322"/>
        <v>-22461.852485269141</v>
      </c>
      <c r="BJ708" s="149">
        <f t="shared" si="322"/>
        <v>-22283.862359655057</v>
      </c>
      <c r="BK708" s="149">
        <f t="shared" si="322"/>
        <v>-22107.282646865871</v>
      </c>
      <c r="BL708" s="149">
        <f t="shared" si="322"/>
        <v>-21932.102170639246</v>
      </c>
      <c r="BM708" s="149">
        <f t="shared" si="322"/>
        <v>-21754.997064563602</v>
      </c>
      <c r="BN708" s="149">
        <f t="shared" si="322"/>
        <v>-21579.322109522007</v>
      </c>
      <c r="BO708" s="149">
        <f t="shared" si="322"/>
        <v>-21405.065756824381</v>
      </c>
      <c r="BP708" s="149">
        <f t="shared" ref="BP708:CP708" si="323">Annual_dementia_valuation_hh_adj/Discount_factor</f>
        <v>-21232.216551038102</v>
      </c>
      <c r="BQ708" s="149">
        <f t="shared" si="323"/>
        <v>-21060.763129234943</v>
      </c>
      <c r="BR708" s="149">
        <f t="shared" si="323"/>
        <v>-20890.097449187</v>
      </c>
      <c r="BS708" s="149">
        <f t="shared" si="323"/>
        <v>-20720.814756743428</v>
      </c>
      <c r="BT708" s="149">
        <f t="shared" si="323"/>
        <v>-20552.903844878219</v>
      </c>
      <c r="BU708" s="149">
        <f t="shared" si="323"/>
        <v>-20386.353597381396</v>
      </c>
      <c r="BV708" s="149">
        <f t="shared" si="323"/>
        <v>-20221.152988123067</v>
      </c>
      <c r="BW708" s="149">
        <f t="shared" si="323"/>
        <v>-20058.985143989918</v>
      </c>
      <c r="BX708" s="149">
        <f t="shared" si="323"/>
        <v>-19898.117839429662</v>
      </c>
      <c r="BY708" s="149">
        <f t="shared" si="323"/>
        <v>-19738.540644488152</v>
      </c>
      <c r="BZ708" s="149">
        <f t="shared" si="323"/>
        <v>-19580.243212856465</v>
      </c>
      <c r="CA708" s="149">
        <f t="shared" si="323"/>
        <v>-19423.215281200108</v>
      </c>
      <c r="CB708" s="149">
        <f t="shared" si="323"/>
        <v>0</v>
      </c>
      <c r="CC708" s="149">
        <f t="shared" si="323"/>
        <v>0</v>
      </c>
      <c r="CD708" s="149">
        <f t="shared" si="323"/>
        <v>0</v>
      </c>
      <c r="CE708" s="149">
        <f t="shared" si="323"/>
        <v>0</v>
      </c>
      <c r="CF708" s="149">
        <f t="shared" si="323"/>
        <v>0</v>
      </c>
      <c r="CG708" s="149">
        <f t="shared" si="323"/>
        <v>0</v>
      </c>
      <c r="CH708" s="149">
        <f t="shared" si="323"/>
        <v>0</v>
      </c>
      <c r="CI708" s="149">
        <f t="shared" si="323"/>
        <v>0</v>
      </c>
      <c r="CJ708" s="149">
        <f t="shared" si="323"/>
        <v>0</v>
      </c>
      <c r="CK708" s="149">
        <f t="shared" si="323"/>
        <v>0</v>
      </c>
      <c r="CL708" s="149">
        <f t="shared" si="323"/>
        <v>0</v>
      </c>
      <c r="CM708" s="149">
        <f t="shared" si="323"/>
        <v>0</v>
      </c>
      <c r="CN708" s="149">
        <f t="shared" si="323"/>
        <v>0</v>
      </c>
      <c r="CO708" s="149">
        <f t="shared" si="323"/>
        <v>0</v>
      </c>
      <c r="CP708" s="149">
        <f t="shared" si="323"/>
        <v>0</v>
      </c>
      <c r="CQ708" s="14" t="s">
        <v>507</v>
      </c>
    </row>
    <row r="709" spans="1:95" ht="15" hidden="1" outlineLevel="2" x14ac:dyDescent="0.25">
      <c r="A709" s="131"/>
      <c r="B709" s="131"/>
      <c r="C709" s="131"/>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c r="AL709" s="149"/>
      <c r="AM709" s="149"/>
      <c r="AN709" s="149"/>
      <c r="AO709" s="149"/>
      <c r="AP709" s="149"/>
      <c r="AQ709" s="149"/>
      <c r="AR709" s="149"/>
      <c r="AS709" s="149"/>
      <c r="AT709" s="149"/>
      <c r="AU709" s="149"/>
      <c r="AV709" s="149"/>
      <c r="AW709" s="149"/>
      <c r="AX709" s="149"/>
      <c r="AY709" s="149"/>
      <c r="AZ709" s="149"/>
      <c r="BA709" s="149"/>
      <c r="BB709" s="149"/>
      <c r="BC709" s="149"/>
      <c r="BD709" s="149"/>
      <c r="BE709" s="149"/>
      <c r="BF709" s="149"/>
      <c r="BG709" s="149"/>
      <c r="BH709" s="149"/>
      <c r="BI709" s="149"/>
      <c r="BJ709" s="149"/>
      <c r="BK709" s="149"/>
      <c r="BL709" s="149"/>
      <c r="BM709" s="149"/>
      <c r="BN709" s="149"/>
      <c r="BO709" s="149"/>
      <c r="BP709" s="149"/>
      <c r="BQ709" s="149"/>
      <c r="BR709" s="149"/>
      <c r="BS709" s="149"/>
      <c r="BT709" s="149"/>
      <c r="BU709" s="149"/>
      <c r="BV709" s="149"/>
      <c r="BW709" s="149"/>
      <c r="BX709" s="149"/>
      <c r="BY709" s="149"/>
      <c r="BZ709" s="149"/>
      <c r="CA709" s="149"/>
      <c r="CB709" s="149"/>
      <c r="CC709" s="149"/>
      <c r="CD709" s="149"/>
      <c r="CE709" s="149"/>
      <c r="CF709" s="149"/>
      <c r="CG709" s="149"/>
      <c r="CH709" s="149"/>
      <c r="CI709" s="149"/>
      <c r="CJ709" s="149"/>
      <c r="CK709" s="149"/>
      <c r="CL709" s="149"/>
      <c r="CM709" s="149"/>
      <c r="CN709" s="149"/>
      <c r="CO709" s="149"/>
      <c r="CP709" s="149"/>
      <c r="CQ709" s="14"/>
    </row>
    <row r="710" spans="1:95" s="5" customFormat="1" ht="15.75" hidden="1" outlineLevel="1" collapsed="1" x14ac:dyDescent="0.25">
      <c r="B710" s="5" t="s">
        <v>509</v>
      </c>
    </row>
    <row r="711" spans="1:95" ht="15" hidden="1" outlineLevel="1" x14ac:dyDescent="0.25">
      <c r="A711" s="131"/>
      <c r="B711" s="131"/>
      <c r="C711" s="131"/>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L711" s="149"/>
      <c r="AM711" s="149"/>
      <c r="AN711" s="149"/>
      <c r="AO711" s="149"/>
      <c r="AP711" s="149"/>
      <c r="AQ711" s="149"/>
      <c r="AR711" s="149"/>
      <c r="AS711" s="149"/>
      <c r="AT711" s="149"/>
      <c r="AU711" s="149"/>
      <c r="AV711" s="149"/>
      <c r="AW711" s="149"/>
      <c r="AX711" s="149"/>
      <c r="AY711" s="149"/>
      <c r="AZ711" s="149"/>
      <c r="BA711" s="149"/>
      <c r="BB711" s="149"/>
      <c r="BC711" s="149"/>
      <c r="BD711" s="149"/>
      <c r="BE711" s="149"/>
      <c r="BF711" s="149"/>
      <c r="BG711" s="149"/>
      <c r="BH711" s="149"/>
      <c r="BI711" s="149"/>
      <c r="BJ711" s="149"/>
      <c r="BK711" s="149"/>
      <c r="BL711" s="149"/>
      <c r="BM711" s="149"/>
      <c r="BN711" s="149"/>
      <c r="BO711" s="149"/>
      <c r="BP711" s="149"/>
      <c r="BQ711" s="149"/>
      <c r="BR711" s="149"/>
      <c r="BS711" s="149"/>
      <c r="BT711" s="149"/>
      <c r="BU711" s="149"/>
      <c r="BV711" s="149"/>
      <c r="BW711" s="149"/>
      <c r="BX711" s="149"/>
      <c r="BY711" s="149"/>
      <c r="BZ711" s="149"/>
      <c r="CA711" s="149"/>
      <c r="CB711" s="149"/>
      <c r="CC711" s="149"/>
      <c r="CD711" s="149"/>
      <c r="CE711" s="149"/>
      <c r="CF711" s="149"/>
      <c r="CG711" s="149"/>
      <c r="CH711" s="149"/>
      <c r="CI711" s="149"/>
      <c r="CJ711" s="149"/>
      <c r="CK711" s="149"/>
      <c r="CL711" s="149"/>
      <c r="CM711" s="149"/>
      <c r="CN711" s="149"/>
      <c r="CO711" s="149"/>
      <c r="CP711" s="149"/>
      <c r="CQ711" s="14"/>
    </row>
    <row r="712" spans="1:95" ht="15" hidden="1" outlineLevel="1" x14ac:dyDescent="0.25">
      <c r="A712" s="131"/>
      <c r="B712" s="131" t="s">
        <v>65</v>
      </c>
      <c r="C712" s="131"/>
      <c r="D712" s="164">
        <f>SUM(Discounted_annual_sleep_disturbance_valuation)</f>
        <v>-8867492.7741625048</v>
      </c>
      <c r="E712" s="72" t="s">
        <v>589</v>
      </c>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c r="AL712" s="149"/>
      <c r="AM712" s="149"/>
      <c r="AN712" s="149"/>
      <c r="AO712" s="149"/>
      <c r="AP712" s="149"/>
      <c r="AQ712" s="149"/>
      <c r="AR712" s="149"/>
      <c r="AS712" s="149"/>
      <c r="AT712" s="149"/>
      <c r="AU712" s="149"/>
      <c r="AV712" s="149"/>
      <c r="AW712" s="149"/>
      <c r="AX712" s="149"/>
      <c r="AY712" s="149"/>
      <c r="AZ712" s="149"/>
      <c r="BA712" s="149"/>
      <c r="BB712" s="149"/>
      <c r="BC712" s="149"/>
      <c r="BD712" s="149"/>
      <c r="BE712" s="149"/>
      <c r="BF712" s="149"/>
      <c r="BG712" s="149"/>
      <c r="BH712" s="149"/>
      <c r="BI712" s="149"/>
      <c r="BJ712" s="149"/>
      <c r="BK712" s="149"/>
      <c r="BL712" s="149"/>
      <c r="BM712" s="149"/>
      <c r="BN712" s="149"/>
      <c r="BO712" s="149"/>
      <c r="BP712" s="149"/>
      <c r="BQ712" s="149"/>
      <c r="BR712" s="149"/>
      <c r="BS712" s="149"/>
      <c r="BT712" s="149"/>
      <c r="BU712" s="149"/>
      <c r="BV712" s="149"/>
      <c r="BW712" s="149"/>
      <c r="BX712" s="149"/>
      <c r="BY712" s="149"/>
      <c r="BZ712" s="149"/>
      <c r="CA712" s="149"/>
      <c r="CB712" s="149"/>
      <c r="CC712" s="149"/>
      <c r="CD712" s="149"/>
      <c r="CE712" s="149"/>
      <c r="CF712" s="149"/>
      <c r="CG712" s="149"/>
      <c r="CH712" s="149"/>
      <c r="CI712" s="149"/>
      <c r="CJ712" s="149"/>
      <c r="CK712" s="149"/>
      <c r="CL712" s="149"/>
      <c r="CM712" s="149"/>
      <c r="CN712" s="149"/>
      <c r="CO712" s="149"/>
      <c r="CP712" s="149"/>
      <c r="CQ712" s="14"/>
    </row>
    <row r="713" spans="1:95" ht="15" hidden="1" outlineLevel="1" x14ac:dyDescent="0.25">
      <c r="A713" s="131"/>
      <c r="B713" s="131" t="s">
        <v>66</v>
      </c>
      <c r="C713" s="131"/>
      <c r="D713" s="164">
        <f>SUM(Discounted_annual_amenity_valuation)</f>
        <v>-7044498.4206251604</v>
      </c>
      <c r="E713" s="72" t="s">
        <v>590</v>
      </c>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L713" s="149"/>
      <c r="AM713" s="149"/>
      <c r="AN713" s="149"/>
      <c r="AO713" s="149"/>
      <c r="AP713" s="149"/>
      <c r="AQ713" s="149"/>
      <c r="AR713" s="149"/>
      <c r="AS713" s="149"/>
      <c r="AT713" s="149"/>
      <c r="AU713" s="149"/>
      <c r="AV713" s="149"/>
      <c r="AW713" s="149"/>
      <c r="AX713" s="149"/>
      <c r="AY713" s="149"/>
      <c r="AZ713" s="149"/>
      <c r="BA713" s="149"/>
      <c r="BB713" s="149"/>
      <c r="BC713" s="149"/>
      <c r="BD713" s="149"/>
      <c r="BE713" s="149"/>
      <c r="BF713" s="149"/>
      <c r="BG713" s="149"/>
      <c r="BH713" s="149"/>
      <c r="BI713" s="149"/>
      <c r="BJ713" s="149"/>
      <c r="BK713" s="149"/>
      <c r="BL713" s="149"/>
      <c r="BM713" s="149"/>
      <c r="BN713" s="149"/>
      <c r="BO713" s="149"/>
      <c r="BP713" s="149"/>
      <c r="BQ713" s="149"/>
      <c r="BR713" s="149"/>
      <c r="BS713" s="149"/>
      <c r="BT713" s="149"/>
      <c r="BU713" s="149"/>
      <c r="BV713" s="149"/>
      <c r="BW713" s="149"/>
      <c r="BX713" s="149"/>
      <c r="BY713" s="149"/>
      <c r="BZ713" s="149"/>
      <c r="CA713" s="149"/>
      <c r="CB713" s="149"/>
      <c r="CC713" s="149"/>
      <c r="CD713" s="149"/>
      <c r="CE713" s="149"/>
      <c r="CF713" s="149"/>
      <c r="CG713" s="149"/>
      <c r="CH713" s="149"/>
      <c r="CI713" s="149"/>
      <c r="CJ713" s="149"/>
      <c r="CK713" s="149"/>
      <c r="CL713" s="149"/>
      <c r="CM713" s="149"/>
      <c r="CN713" s="149"/>
      <c r="CO713" s="149"/>
      <c r="CP713" s="149"/>
      <c r="CQ713" s="14"/>
    </row>
    <row r="714" spans="1:95" ht="15" hidden="1" outlineLevel="1" x14ac:dyDescent="0.25">
      <c r="A714" s="131"/>
      <c r="B714" s="131" t="s">
        <v>67</v>
      </c>
      <c r="C714" s="131"/>
      <c r="D714" s="164">
        <f>SUM(Discounted_annual_AMI_valuation)</f>
        <v>-569926.21383477526</v>
      </c>
      <c r="E714" s="72" t="s">
        <v>591</v>
      </c>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L714" s="149"/>
      <c r="AM714" s="149"/>
      <c r="AN714" s="149"/>
      <c r="AO714" s="149"/>
      <c r="AP714" s="149"/>
      <c r="AQ714" s="149"/>
      <c r="AR714" s="149"/>
      <c r="AS714" s="149"/>
      <c r="AT714" s="149"/>
      <c r="AU714" s="149"/>
      <c r="AV714" s="149"/>
      <c r="AW714" s="149"/>
      <c r="AX714" s="149"/>
      <c r="AY714" s="149"/>
      <c r="AZ714" s="149"/>
      <c r="BA714" s="149"/>
      <c r="BB714" s="149"/>
      <c r="BC714" s="149"/>
      <c r="BD714" s="149"/>
      <c r="BE714" s="149"/>
      <c r="BF714" s="149"/>
      <c r="BG714" s="149"/>
      <c r="BH714" s="149"/>
      <c r="BI714" s="149"/>
      <c r="BJ714" s="149"/>
      <c r="BK714" s="149"/>
      <c r="BL714" s="149"/>
      <c r="BM714" s="149"/>
      <c r="BN714" s="149"/>
      <c r="BO714" s="149"/>
      <c r="BP714" s="149"/>
      <c r="BQ714" s="149"/>
      <c r="BR714" s="149"/>
      <c r="BS714" s="149"/>
      <c r="BT714" s="149"/>
      <c r="BU714" s="149"/>
      <c r="BV714" s="149"/>
      <c r="BW714" s="149"/>
      <c r="BX714" s="149"/>
      <c r="BY714" s="149"/>
      <c r="BZ714" s="149"/>
      <c r="CA714" s="149"/>
      <c r="CB714" s="149"/>
      <c r="CC714" s="149"/>
      <c r="CD714" s="149"/>
      <c r="CE714" s="149"/>
      <c r="CF714" s="149"/>
      <c r="CG714" s="149"/>
      <c r="CH714" s="149"/>
      <c r="CI714" s="149"/>
      <c r="CJ714" s="149"/>
      <c r="CK714" s="149"/>
      <c r="CL714" s="149"/>
      <c r="CM714" s="149"/>
      <c r="CN714" s="149"/>
      <c r="CO714" s="149"/>
      <c r="CP714" s="149"/>
      <c r="CQ714" s="14"/>
    </row>
    <row r="715" spans="1:95" ht="15" hidden="1" outlineLevel="1" x14ac:dyDescent="0.25">
      <c r="A715" s="131"/>
      <c r="B715" s="131" t="s">
        <v>68</v>
      </c>
      <c r="C715" s="131"/>
      <c r="D715" s="164">
        <f>SUM(Discounted_annual_stroke_valuation)</f>
        <v>-1026914.2698689897</v>
      </c>
      <c r="E715" s="72" t="s">
        <v>592</v>
      </c>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L715" s="149"/>
      <c r="AM715" s="149"/>
      <c r="AN715" s="149"/>
      <c r="AO715" s="149"/>
      <c r="AP715" s="149"/>
      <c r="AQ715" s="149"/>
      <c r="AR715" s="149"/>
      <c r="AS715" s="149"/>
      <c r="AT715" s="149"/>
      <c r="AU715" s="149"/>
      <c r="AV715" s="149"/>
      <c r="AW715" s="149"/>
      <c r="AX715" s="149"/>
      <c r="AY715" s="149"/>
      <c r="AZ715" s="149"/>
      <c r="BA715" s="149"/>
      <c r="BB715" s="149"/>
      <c r="BC715" s="149"/>
      <c r="BD715" s="149"/>
      <c r="BE715" s="149"/>
      <c r="BF715" s="149"/>
      <c r="BG715" s="149"/>
      <c r="BH715" s="149"/>
      <c r="BI715" s="149"/>
      <c r="BJ715" s="149"/>
      <c r="BK715" s="149"/>
      <c r="BL715" s="149"/>
      <c r="BM715" s="149"/>
      <c r="BN715" s="149"/>
      <c r="BO715" s="149"/>
      <c r="BP715" s="149"/>
      <c r="BQ715" s="149"/>
      <c r="BR715" s="149"/>
      <c r="BS715" s="149"/>
      <c r="BT715" s="149"/>
      <c r="BU715" s="149"/>
      <c r="BV715" s="149"/>
      <c r="BW715" s="149"/>
      <c r="BX715" s="149"/>
      <c r="BY715" s="149"/>
      <c r="BZ715" s="149"/>
      <c r="CA715" s="149"/>
      <c r="CB715" s="149"/>
      <c r="CC715" s="149"/>
      <c r="CD715" s="149"/>
      <c r="CE715" s="149"/>
      <c r="CF715" s="149"/>
      <c r="CG715" s="149"/>
      <c r="CH715" s="149"/>
      <c r="CI715" s="149"/>
      <c r="CJ715" s="149"/>
      <c r="CK715" s="149"/>
      <c r="CL715" s="149"/>
      <c r="CM715" s="149"/>
      <c r="CN715" s="149"/>
      <c r="CO715" s="149"/>
      <c r="CP715" s="149"/>
      <c r="CQ715" s="14"/>
    </row>
    <row r="716" spans="1:95" ht="15" hidden="1" outlineLevel="1" x14ac:dyDescent="0.25">
      <c r="A716" s="131"/>
      <c r="B716" s="131" t="s">
        <v>69</v>
      </c>
      <c r="C716" s="131"/>
      <c r="D716" s="165">
        <f>SUM(Discounted_annual_dementia_valuation)</f>
        <v>-1552937.3380683246</v>
      </c>
      <c r="E716" s="72" t="s">
        <v>593</v>
      </c>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c r="AO716" s="131"/>
      <c r="AP716" s="131"/>
      <c r="AQ716" s="131"/>
      <c r="AR716" s="131"/>
      <c r="AS716" s="131"/>
      <c r="AT716" s="131"/>
      <c r="AU716" s="131"/>
      <c r="AV716" s="131"/>
      <c r="AW716" s="131"/>
      <c r="AX716" s="131"/>
      <c r="AY716" s="131"/>
      <c r="AZ716" s="131"/>
      <c r="BA716" s="131"/>
      <c r="BB716" s="131"/>
      <c r="BC716" s="131"/>
      <c r="BD716" s="131"/>
      <c r="BE716" s="131"/>
      <c r="BF716" s="131"/>
      <c r="BG716" s="131"/>
      <c r="BH716" s="131"/>
      <c r="BI716" s="131"/>
      <c r="BJ716" s="131"/>
      <c r="BK716" s="131"/>
      <c r="BL716" s="131"/>
      <c r="BM716" s="131"/>
      <c r="BN716" s="131"/>
      <c r="BO716" s="131"/>
      <c r="BP716" s="131"/>
      <c r="BQ716" s="131"/>
      <c r="BR716" s="131"/>
      <c r="BS716" s="131"/>
      <c r="BT716" s="131"/>
      <c r="BU716" s="131"/>
      <c r="BV716" s="131"/>
      <c r="BW716" s="131"/>
      <c r="BX716" s="131"/>
      <c r="BY716" s="131"/>
      <c r="BZ716" s="131"/>
      <c r="CA716" s="131"/>
      <c r="CB716" s="131"/>
      <c r="CC716" s="131"/>
      <c r="CD716" s="131"/>
      <c r="CE716" s="131"/>
      <c r="CF716" s="131"/>
      <c r="CG716" s="131"/>
      <c r="CH716" s="131"/>
      <c r="CI716" s="131"/>
      <c r="CJ716" s="131"/>
      <c r="CK716" s="131"/>
      <c r="CL716" s="131"/>
      <c r="CM716" s="131"/>
      <c r="CN716" s="131"/>
      <c r="CO716" s="131"/>
      <c r="CP716" s="131"/>
      <c r="CQ716" s="131"/>
    </row>
    <row r="717" spans="1:95" ht="15" hidden="1" outlineLevel="1" x14ac:dyDescent="0.25">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c r="AO717" s="131"/>
      <c r="AP717" s="131"/>
      <c r="AQ717" s="131"/>
      <c r="AR717" s="131"/>
      <c r="AS717" s="131"/>
      <c r="AT717" s="131"/>
      <c r="AU717" s="131"/>
      <c r="AV717" s="131"/>
      <c r="AW717" s="131"/>
      <c r="AX717" s="131"/>
      <c r="AY717" s="131"/>
      <c r="AZ717" s="131"/>
      <c r="BA717" s="131"/>
      <c r="BB717" s="131"/>
      <c r="BC717" s="131"/>
      <c r="BD717" s="131"/>
      <c r="BE717" s="131"/>
      <c r="BF717" s="131"/>
      <c r="BG717" s="131"/>
      <c r="BH717" s="131"/>
      <c r="BI717" s="131"/>
      <c r="BJ717" s="131"/>
      <c r="BK717" s="131"/>
      <c r="BL717" s="131"/>
      <c r="BM717" s="131"/>
      <c r="BN717" s="131"/>
      <c r="BO717" s="131"/>
      <c r="BP717" s="131"/>
      <c r="BQ717" s="131"/>
      <c r="BR717" s="131"/>
      <c r="BS717" s="131"/>
      <c r="BT717" s="131"/>
      <c r="BU717" s="131"/>
      <c r="BV717" s="131"/>
      <c r="BW717" s="131"/>
      <c r="BX717" s="131"/>
      <c r="BY717" s="131"/>
      <c r="BZ717" s="131"/>
      <c r="CA717" s="131"/>
      <c r="CB717" s="131"/>
      <c r="CC717" s="131"/>
      <c r="CD717" s="131"/>
      <c r="CE717" s="131"/>
      <c r="CF717" s="131"/>
      <c r="CG717" s="131"/>
      <c r="CH717" s="131"/>
      <c r="CI717" s="131"/>
      <c r="CJ717" s="131"/>
      <c r="CK717" s="131"/>
      <c r="CL717" s="131"/>
      <c r="CM717" s="131"/>
      <c r="CN717" s="131"/>
      <c r="CO717" s="131"/>
      <c r="CP717" s="131"/>
      <c r="CQ717" s="131"/>
    </row>
    <row r="718" spans="1:95" s="5" customFormat="1" ht="15.75" hidden="1" outlineLevel="1" x14ac:dyDescent="0.25">
      <c r="B718" s="5" t="s">
        <v>508</v>
      </c>
    </row>
    <row r="719" spans="1:95" ht="15" hidden="1" outlineLevel="1" x14ac:dyDescent="0.25">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c r="AO719" s="131"/>
      <c r="AP719" s="131"/>
      <c r="AQ719" s="131"/>
      <c r="AR719" s="131"/>
      <c r="AS719" s="131"/>
      <c r="AT719" s="131"/>
      <c r="AU719" s="131"/>
      <c r="AV719" s="131"/>
      <c r="AW719" s="131"/>
      <c r="AX719" s="131"/>
      <c r="AY719" s="131"/>
      <c r="AZ719" s="131"/>
      <c r="BA719" s="131"/>
      <c r="BB719" s="131"/>
      <c r="BC719" s="131"/>
      <c r="BD719" s="131"/>
      <c r="BE719" s="131"/>
      <c r="BF719" s="131"/>
      <c r="BG719" s="131"/>
      <c r="BH719" s="131"/>
      <c r="BI719" s="131"/>
      <c r="BJ719" s="131"/>
      <c r="BK719" s="131"/>
      <c r="BL719" s="131"/>
      <c r="BM719" s="131"/>
      <c r="BN719" s="131"/>
      <c r="BO719" s="131"/>
      <c r="BP719" s="131"/>
      <c r="BQ719" s="131"/>
      <c r="BR719" s="131"/>
      <c r="BS719" s="131"/>
      <c r="BT719" s="131"/>
      <c r="BU719" s="131"/>
      <c r="BV719" s="131"/>
      <c r="BW719" s="131"/>
      <c r="BX719" s="131"/>
      <c r="BY719" s="131"/>
      <c r="BZ719" s="131"/>
      <c r="CA719" s="131"/>
      <c r="CB719" s="131"/>
      <c r="CC719" s="131"/>
      <c r="CD719" s="131"/>
      <c r="CE719" s="131"/>
      <c r="CF719" s="131"/>
      <c r="CG719" s="131"/>
      <c r="CH719" s="131"/>
      <c r="CI719" s="131"/>
      <c r="CJ719" s="131"/>
      <c r="CK719" s="131"/>
      <c r="CL719" s="131"/>
      <c r="CM719" s="131"/>
      <c r="CN719" s="131"/>
      <c r="CO719" s="131"/>
      <c r="CP719" s="131"/>
      <c r="CQ719" s="131"/>
    </row>
    <row r="720" spans="1:95" ht="15" hidden="1" outlineLevel="1" x14ac:dyDescent="0.25">
      <c r="A720" s="131"/>
      <c r="B720" s="131" t="s">
        <v>510</v>
      </c>
      <c r="C720" s="131"/>
      <c r="D720" s="165">
        <f>SUM(Total_discounted_sleep_disturbance_valuation,Total_discounted_amenity_valuation,Total_discounted_AMI_valuation,Total_discounted_stroke_valuation,Total_discounted_dementia_valuation)</f>
        <v>-19061769.016559757</v>
      </c>
      <c r="E720" s="3" t="s">
        <v>543</v>
      </c>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c r="AO720" s="131"/>
      <c r="AP720" s="131"/>
      <c r="AQ720" s="131"/>
      <c r="AR720" s="131"/>
      <c r="AS720" s="131"/>
      <c r="AT720" s="131"/>
      <c r="AU720" s="131"/>
      <c r="AV720" s="131"/>
      <c r="AW720" s="131"/>
      <c r="AX720" s="131"/>
      <c r="AY720" s="131"/>
      <c r="AZ720" s="131"/>
      <c r="BA720" s="131"/>
      <c r="BB720" s="131"/>
      <c r="BC720" s="131"/>
      <c r="BD720" s="131"/>
      <c r="BE720" s="131"/>
      <c r="BF720" s="131"/>
      <c r="BG720" s="131"/>
      <c r="BH720" s="131"/>
      <c r="BI720" s="131"/>
      <c r="BJ720" s="131"/>
      <c r="BK720" s="131"/>
      <c r="BL720" s="131"/>
      <c r="BM720" s="131"/>
      <c r="BN720" s="131"/>
      <c r="BO720" s="131"/>
      <c r="BP720" s="131"/>
      <c r="BQ720" s="131"/>
      <c r="BR720" s="131"/>
      <c r="BS720" s="131"/>
      <c r="BT720" s="131"/>
      <c r="BU720" s="131"/>
      <c r="BV720" s="131"/>
      <c r="BW720" s="131"/>
      <c r="BX720" s="131"/>
      <c r="BY720" s="131"/>
      <c r="BZ720" s="131"/>
      <c r="CA720" s="131"/>
      <c r="CB720" s="131"/>
      <c r="CC720" s="131"/>
      <c r="CD720" s="131"/>
      <c r="CE720" s="131"/>
      <c r="CF720" s="131"/>
      <c r="CG720" s="131"/>
      <c r="CH720" s="131"/>
      <c r="CI720" s="131"/>
      <c r="CJ720" s="131"/>
      <c r="CK720" s="131"/>
      <c r="CL720" s="131"/>
      <c r="CM720" s="131"/>
      <c r="CN720" s="131"/>
      <c r="CO720" s="131"/>
      <c r="CP720" s="131"/>
      <c r="CQ720" s="131"/>
    </row>
    <row r="721" spans="1:95" ht="15" collapsed="1" x14ac:dyDescent="0.25">
      <c r="A721" s="131"/>
      <c r="B721" s="131"/>
      <c r="C721" s="131"/>
      <c r="D721" s="166"/>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c r="AO721" s="131"/>
      <c r="AP721" s="131"/>
      <c r="AQ721" s="131"/>
      <c r="AR721" s="131"/>
      <c r="AS721" s="131"/>
      <c r="AT721" s="131"/>
      <c r="AU721" s="131"/>
      <c r="AV721" s="131"/>
      <c r="AW721" s="131"/>
      <c r="AX721" s="131"/>
      <c r="AY721" s="131"/>
      <c r="AZ721" s="131"/>
      <c r="BA721" s="131"/>
      <c r="BB721" s="131"/>
      <c r="BC721" s="131"/>
      <c r="BD721" s="131"/>
      <c r="BE721" s="131"/>
      <c r="BF721" s="131"/>
      <c r="BG721" s="131"/>
      <c r="BH721" s="131"/>
      <c r="BI721" s="131"/>
      <c r="BJ721" s="131"/>
      <c r="BK721" s="131"/>
      <c r="BL721" s="131"/>
      <c r="BM721" s="131"/>
      <c r="BN721" s="131"/>
      <c r="BO721" s="131"/>
      <c r="BP721" s="131"/>
      <c r="BQ721" s="131"/>
      <c r="BR721" s="131"/>
      <c r="BS721" s="131"/>
      <c r="BT721" s="131"/>
      <c r="BU721" s="131"/>
      <c r="BV721" s="131"/>
      <c r="BW721" s="131"/>
      <c r="BX721" s="131"/>
      <c r="BY721" s="131"/>
      <c r="BZ721" s="131"/>
      <c r="CA721" s="131"/>
      <c r="CB721" s="131"/>
      <c r="CC721" s="131"/>
      <c r="CD721" s="131"/>
      <c r="CE721" s="131"/>
      <c r="CF721" s="131"/>
      <c r="CG721" s="131"/>
      <c r="CH721" s="131"/>
      <c r="CI721" s="131"/>
      <c r="CJ721" s="131"/>
      <c r="CK721" s="131"/>
      <c r="CL721" s="131"/>
      <c r="CM721" s="131"/>
      <c r="CN721" s="131"/>
      <c r="CO721" s="131"/>
      <c r="CP721" s="131"/>
      <c r="CQ721" s="131"/>
    </row>
    <row r="722" spans="1:95" ht="15" hidden="1" x14ac:dyDescent="0.25">
      <c r="A722" s="131"/>
      <c r="B722" s="131"/>
      <c r="C722" s="131"/>
      <c r="D722" s="166"/>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c r="AO722" s="131"/>
      <c r="AP722" s="131"/>
      <c r="AQ722" s="131"/>
      <c r="AR722" s="131"/>
      <c r="AS722" s="131"/>
      <c r="AT722" s="131"/>
      <c r="AU722" s="131"/>
      <c r="AV722" s="131"/>
      <c r="AW722" s="131"/>
      <c r="AX722" s="131"/>
      <c r="AY722" s="131"/>
      <c r="AZ722" s="131"/>
      <c r="BA722" s="131"/>
      <c r="BB722" s="131"/>
      <c r="BC722" s="131"/>
      <c r="BD722" s="131"/>
      <c r="BE722" s="131"/>
      <c r="BF722" s="131"/>
      <c r="BG722" s="131"/>
      <c r="BH722" s="131"/>
      <c r="BI722" s="131"/>
      <c r="BJ722" s="131"/>
      <c r="BK722" s="131"/>
      <c r="BL722" s="131"/>
      <c r="BM722" s="131"/>
      <c r="BN722" s="131"/>
      <c r="BO722" s="131"/>
      <c r="BP722" s="131"/>
      <c r="BQ722" s="131"/>
      <c r="BR722" s="131"/>
      <c r="BS722" s="131"/>
      <c r="BT722" s="131"/>
      <c r="BU722" s="131"/>
      <c r="BV722" s="131"/>
      <c r="BW722" s="131"/>
      <c r="BX722" s="131"/>
      <c r="BY722" s="131"/>
      <c r="BZ722" s="131"/>
      <c r="CA722" s="131"/>
      <c r="CB722" s="131"/>
      <c r="CC722" s="131"/>
      <c r="CD722" s="131"/>
      <c r="CE722" s="131"/>
      <c r="CF722" s="131"/>
      <c r="CG722" s="131"/>
      <c r="CH722" s="131"/>
      <c r="CI722" s="131"/>
      <c r="CJ722" s="131"/>
      <c r="CK722" s="131"/>
      <c r="CL722" s="131"/>
      <c r="CM722" s="131"/>
      <c r="CN722" s="131"/>
      <c r="CO722" s="131"/>
      <c r="CP722" s="131"/>
      <c r="CQ722" s="131"/>
    </row>
    <row r="723" spans="1:95" ht="15" hidden="1" x14ac:dyDescent="0.25">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c r="AO723" s="131"/>
      <c r="AP723" s="131"/>
      <c r="AQ723" s="131"/>
      <c r="AR723" s="131"/>
      <c r="AS723" s="131"/>
      <c r="AT723" s="131"/>
      <c r="AU723" s="131"/>
      <c r="AV723" s="131"/>
      <c r="AW723" s="131"/>
      <c r="AX723" s="131"/>
      <c r="AY723" s="131"/>
      <c r="AZ723" s="131"/>
      <c r="BA723" s="131"/>
      <c r="BB723" s="131"/>
      <c r="BC723" s="131"/>
      <c r="BD723" s="131"/>
      <c r="BE723" s="131"/>
      <c r="BF723" s="131"/>
      <c r="BG723" s="131"/>
      <c r="BH723" s="131"/>
      <c r="BI723" s="131"/>
      <c r="BJ723" s="131"/>
      <c r="BK723" s="131"/>
      <c r="BL723" s="131"/>
      <c r="BM723" s="131"/>
      <c r="BN723" s="131"/>
      <c r="BO723" s="131"/>
      <c r="BP723" s="131"/>
      <c r="BQ723" s="131"/>
      <c r="BR723" s="131"/>
      <c r="BS723" s="131"/>
      <c r="BT723" s="131"/>
      <c r="BU723" s="131"/>
      <c r="BV723" s="131"/>
      <c r="BW723" s="131"/>
      <c r="BX723" s="131"/>
      <c r="BY723" s="131"/>
      <c r="BZ723" s="131"/>
      <c r="CA723" s="131"/>
      <c r="CB723" s="131"/>
      <c r="CC723" s="131"/>
      <c r="CD723" s="131"/>
      <c r="CE723" s="131"/>
      <c r="CF723" s="131"/>
      <c r="CG723" s="131"/>
      <c r="CH723" s="131"/>
      <c r="CI723" s="131"/>
      <c r="CJ723" s="131"/>
      <c r="CK723" s="131"/>
      <c r="CL723" s="131"/>
      <c r="CM723" s="131"/>
      <c r="CN723" s="131"/>
      <c r="CO723" s="131"/>
      <c r="CP723" s="131"/>
      <c r="CQ723" s="131"/>
    </row>
    <row r="724" spans="1:95" ht="15" hidden="1" x14ac:dyDescent="0.25">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c r="AO724" s="131"/>
      <c r="AP724" s="131"/>
      <c r="AQ724" s="131"/>
      <c r="AR724" s="131"/>
      <c r="AS724" s="131"/>
      <c r="AT724" s="131"/>
      <c r="AU724" s="131"/>
      <c r="AV724" s="131"/>
      <c r="AW724" s="131"/>
      <c r="AX724" s="131"/>
      <c r="AY724" s="131"/>
      <c r="AZ724" s="131"/>
      <c r="BA724" s="131"/>
      <c r="BB724" s="131"/>
      <c r="BC724" s="131"/>
      <c r="BD724" s="131"/>
      <c r="BE724" s="131"/>
      <c r="BF724" s="131"/>
      <c r="BG724" s="131"/>
      <c r="BH724" s="131"/>
      <c r="BI724" s="131"/>
      <c r="BJ724" s="131"/>
      <c r="BK724" s="131"/>
      <c r="BL724" s="131"/>
      <c r="BM724" s="131"/>
      <c r="BN724" s="131"/>
      <c r="BO724" s="131"/>
      <c r="BP724" s="131"/>
      <c r="BQ724" s="131"/>
      <c r="BR724" s="131"/>
      <c r="BS724" s="131"/>
      <c r="BT724" s="131"/>
      <c r="BU724" s="131"/>
      <c r="BV724" s="131"/>
      <c r="BW724" s="131"/>
      <c r="BX724" s="131"/>
      <c r="BY724" s="131"/>
      <c r="BZ724" s="131"/>
      <c r="CA724" s="131"/>
      <c r="CB724" s="131"/>
      <c r="CC724" s="131"/>
      <c r="CD724" s="131"/>
      <c r="CE724" s="131"/>
      <c r="CF724" s="131"/>
      <c r="CG724" s="131"/>
      <c r="CH724" s="131"/>
      <c r="CI724" s="131"/>
      <c r="CJ724" s="131"/>
      <c r="CK724" s="131"/>
      <c r="CL724" s="131"/>
      <c r="CM724" s="131"/>
      <c r="CN724" s="131"/>
      <c r="CO724" s="131"/>
      <c r="CP724" s="131"/>
      <c r="CQ724" s="131"/>
    </row>
    <row r="725" spans="1:95" ht="15" hidden="1" x14ac:dyDescent="0.25">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c r="AO725" s="131"/>
      <c r="AP725" s="131"/>
      <c r="AQ725" s="131"/>
      <c r="AR725" s="131"/>
      <c r="AS725" s="131"/>
      <c r="AT725" s="131"/>
      <c r="AU725" s="131"/>
      <c r="AV725" s="131"/>
      <c r="AW725" s="131"/>
      <c r="AX725" s="131"/>
      <c r="AY725" s="131"/>
      <c r="AZ725" s="131"/>
      <c r="BA725" s="131"/>
      <c r="BB725" s="131"/>
      <c r="BC725" s="131"/>
      <c r="BD725" s="131"/>
      <c r="BE725" s="131"/>
      <c r="BF725" s="131"/>
      <c r="BG725" s="131"/>
      <c r="BH725" s="131"/>
      <c r="BI725" s="131"/>
      <c r="BJ725" s="131"/>
      <c r="BK725" s="131"/>
      <c r="BL725" s="131"/>
      <c r="BM725" s="131"/>
      <c r="BN725" s="131"/>
      <c r="BO725" s="131"/>
      <c r="BP725" s="131"/>
      <c r="BQ725" s="131"/>
      <c r="BR725" s="131"/>
      <c r="BS725" s="131"/>
      <c r="BT725" s="131"/>
      <c r="BU725" s="131"/>
      <c r="BV725" s="131"/>
      <c r="BW725" s="131"/>
      <c r="BX725" s="131"/>
      <c r="BY725" s="131"/>
      <c r="BZ725" s="131"/>
      <c r="CA725" s="131"/>
      <c r="CB725" s="131"/>
      <c r="CC725" s="131"/>
      <c r="CD725" s="131"/>
      <c r="CE725" s="131"/>
      <c r="CF725" s="131"/>
      <c r="CG725" s="131"/>
      <c r="CH725" s="131"/>
      <c r="CI725" s="131"/>
      <c r="CJ725" s="131"/>
      <c r="CK725" s="131"/>
      <c r="CL725" s="131"/>
      <c r="CM725" s="131"/>
      <c r="CN725" s="131"/>
      <c r="CO725" s="131"/>
      <c r="CP725" s="131"/>
      <c r="CQ725" s="131"/>
    </row>
    <row r="726" spans="1:95" ht="15" hidden="1" x14ac:dyDescent="0.25">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c r="AO726" s="131"/>
      <c r="AP726" s="131"/>
      <c r="AQ726" s="131"/>
      <c r="AR726" s="131"/>
      <c r="AS726" s="131"/>
      <c r="AT726" s="131"/>
      <c r="AU726" s="131"/>
      <c r="AV726" s="131"/>
      <c r="AW726" s="131"/>
      <c r="AX726" s="131"/>
      <c r="AY726" s="131"/>
      <c r="AZ726" s="131"/>
      <c r="BA726" s="131"/>
      <c r="BB726" s="131"/>
      <c r="BC726" s="131"/>
      <c r="BD726" s="131"/>
      <c r="BE726" s="131"/>
      <c r="BF726" s="131"/>
      <c r="BG726" s="131"/>
      <c r="BH726" s="131"/>
      <c r="BI726" s="131"/>
      <c r="BJ726" s="131"/>
      <c r="BK726" s="131"/>
      <c r="BL726" s="131"/>
      <c r="BM726" s="131"/>
      <c r="BN726" s="131"/>
      <c r="BO726" s="131"/>
      <c r="BP726" s="131"/>
      <c r="BQ726" s="131"/>
      <c r="BR726" s="131"/>
      <c r="BS726" s="131"/>
      <c r="BT726" s="131"/>
      <c r="BU726" s="131"/>
      <c r="BV726" s="131"/>
      <c r="BW726" s="131"/>
      <c r="BX726" s="131"/>
      <c r="BY726" s="131"/>
      <c r="BZ726" s="131"/>
      <c r="CA726" s="131"/>
      <c r="CB726" s="131"/>
      <c r="CC726" s="131"/>
      <c r="CD726" s="131"/>
      <c r="CE726" s="131"/>
      <c r="CF726" s="131"/>
      <c r="CG726" s="131"/>
      <c r="CH726" s="131"/>
      <c r="CI726" s="131"/>
      <c r="CJ726" s="131"/>
      <c r="CK726" s="131"/>
      <c r="CL726" s="131"/>
      <c r="CM726" s="131"/>
      <c r="CN726" s="131"/>
      <c r="CO726" s="131"/>
      <c r="CP726" s="131"/>
      <c r="CQ726" s="131"/>
    </row>
    <row r="727" spans="1:95" ht="15" hidden="1" x14ac:dyDescent="0.25">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c r="AO727" s="131"/>
      <c r="AP727" s="131"/>
      <c r="AQ727" s="131"/>
      <c r="AR727" s="131"/>
      <c r="AS727" s="131"/>
      <c r="AT727" s="131"/>
      <c r="AU727" s="131"/>
      <c r="AV727" s="131"/>
      <c r="AW727" s="131"/>
      <c r="AX727" s="131"/>
      <c r="AY727" s="131"/>
      <c r="AZ727" s="131"/>
      <c r="BA727" s="131"/>
      <c r="BB727" s="131"/>
      <c r="BC727" s="131"/>
      <c r="BD727" s="131"/>
      <c r="BE727" s="131"/>
      <c r="BF727" s="131"/>
      <c r="BG727" s="131"/>
      <c r="BH727" s="131"/>
      <c r="BI727" s="131"/>
      <c r="BJ727" s="131"/>
      <c r="BK727" s="131"/>
      <c r="BL727" s="131"/>
      <c r="BM727" s="131"/>
      <c r="BN727" s="131"/>
      <c r="BO727" s="131"/>
      <c r="BP727" s="131"/>
      <c r="BQ727" s="131"/>
      <c r="BR727" s="131"/>
      <c r="BS727" s="131"/>
      <c r="BT727" s="131"/>
      <c r="BU727" s="131"/>
      <c r="BV727" s="131"/>
      <c r="BW727" s="131"/>
      <c r="BX727" s="131"/>
      <c r="BY727" s="131"/>
      <c r="BZ727" s="131"/>
      <c r="CA727" s="131"/>
      <c r="CB727" s="131"/>
      <c r="CC727" s="131"/>
      <c r="CD727" s="131"/>
      <c r="CE727" s="131"/>
      <c r="CF727" s="131"/>
      <c r="CG727" s="131"/>
      <c r="CH727" s="131"/>
      <c r="CI727" s="131"/>
      <c r="CJ727" s="131"/>
      <c r="CK727" s="131"/>
      <c r="CL727" s="131"/>
      <c r="CM727" s="131"/>
      <c r="CN727" s="131"/>
      <c r="CO727" s="131"/>
      <c r="CP727" s="131"/>
      <c r="CQ727" s="131"/>
    </row>
    <row r="728" spans="1:95" ht="15" hidden="1" x14ac:dyDescent="0.25">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c r="AO728" s="131"/>
      <c r="AP728" s="131"/>
      <c r="AQ728" s="131"/>
      <c r="AR728" s="131"/>
      <c r="AS728" s="131"/>
      <c r="AT728" s="131"/>
      <c r="AU728" s="131"/>
      <c r="AV728" s="131"/>
      <c r="AW728" s="131"/>
      <c r="AX728" s="131"/>
      <c r="AY728" s="131"/>
      <c r="AZ728" s="131"/>
      <c r="BA728" s="131"/>
      <c r="BB728" s="131"/>
      <c r="BC728" s="131"/>
      <c r="BD728" s="131"/>
      <c r="BE728" s="131"/>
      <c r="BF728" s="131"/>
      <c r="BG728" s="131"/>
      <c r="BH728" s="131"/>
      <c r="BI728" s="131"/>
      <c r="BJ728" s="131"/>
      <c r="BK728" s="131"/>
      <c r="BL728" s="131"/>
      <c r="BM728" s="131"/>
      <c r="BN728" s="131"/>
      <c r="BO728" s="131"/>
      <c r="BP728" s="131"/>
      <c r="BQ728" s="131"/>
      <c r="BR728" s="131"/>
      <c r="BS728" s="131"/>
      <c r="BT728" s="131"/>
      <c r="BU728" s="131"/>
      <c r="BV728" s="131"/>
      <c r="BW728" s="131"/>
      <c r="BX728" s="131"/>
      <c r="BY728" s="131"/>
      <c r="BZ728" s="131"/>
      <c r="CA728" s="131"/>
      <c r="CB728" s="131"/>
      <c r="CC728" s="131"/>
      <c r="CD728" s="131"/>
      <c r="CE728" s="131"/>
      <c r="CF728" s="131"/>
      <c r="CG728" s="131"/>
      <c r="CH728" s="131"/>
      <c r="CI728" s="131"/>
      <c r="CJ728" s="131"/>
      <c r="CK728" s="131"/>
      <c r="CL728" s="131"/>
      <c r="CM728" s="131"/>
      <c r="CN728" s="131"/>
      <c r="CO728" s="131"/>
      <c r="CP728" s="131"/>
      <c r="CQ728" s="131"/>
    </row>
    <row r="729" spans="1:95" ht="15" hidden="1" x14ac:dyDescent="0.25">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c r="AO729" s="131"/>
      <c r="AP729" s="131"/>
      <c r="AQ729" s="131"/>
      <c r="AR729" s="131"/>
      <c r="AS729" s="131"/>
      <c r="AT729" s="131"/>
      <c r="AU729" s="131"/>
      <c r="AV729" s="131"/>
      <c r="AW729" s="131"/>
      <c r="AX729" s="131"/>
      <c r="AY729" s="131"/>
      <c r="AZ729" s="131"/>
      <c r="BA729" s="131"/>
      <c r="BB729" s="131"/>
      <c r="BC729" s="131"/>
      <c r="BD729" s="131"/>
      <c r="BE729" s="131"/>
      <c r="BF729" s="131"/>
      <c r="BG729" s="131"/>
      <c r="BH729" s="131"/>
      <c r="BI729" s="131"/>
      <c r="BJ729" s="131"/>
      <c r="BK729" s="131"/>
      <c r="BL729" s="131"/>
      <c r="BM729" s="131"/>
      <c r="BN729" s="131"/>
      <c r="BO729" s="131"/>
      <c r="BP729" s="131"/>
      <c r="BQ729" s="131"/>
      <c r="BR729" s="131"/>
      <c r="BS729" s="131"/>
      <c r="BT729" s="131"/>
      <c r="BU729" s="131"/>
      <c r="BV729" s="131"/>
      <c r="BW729" s="131"/>
      <c r="BX729" s="131"/>
      <c r="BY729" s="131"/>
      <c r="BZ729" s="131"/>
      <c r="CA729" s="131"/>
      <c r="CB729" s="131"/>
      <c r="CC729" s="131"/>
      <c r="CD729" s="131"/>
      <c r="CE729" s="131"/>
      <c r="CF729" s="131"/>
      <c r="CG729" s="131"/>
      <c r="CH729" s="131"/>
      <c r="CI729" s="131"/>
      <c r="CJ729" s="131"/>
      <c r="CK729" s="131"/>
      <c r="CL729" s="131"/>
      <c r="CM729" s="131"/>
      <c r="CN729" s="131"/>
      <c r="CO729" s="131"/>
      <c r="CP729" s="131"/>
      <c r="CQ729" s="131"/>
    </row>
    <row r="730" spans="1:95" ht="15" hidden="1" x14ac:dyDescent="0.25">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c r="AO730" s="131"/>
      <c r="AP730" s="131"/>
      <c r="AQ730" s="131"/>
      <c r="AR730" s="131"/>
      <c r="AS730" s="131"/>
      <c r="AT730" s="131"/>
      <c r="AU730" s="131"/>
      <c r="AV730" s="131"/>
      <c r="AW730" s="131"/>
      <c r="AX730" s="131"/>
      <c r="AY730" s="131"/>
      <c r="AZ730" s="131"/>
      <c r="BA730" s="131"/>
      <c r="BB730" s="131"/>
      <c r="BC730" s="131"/>
      <c r="BD730" s="131"/>
      <c r="BE730" s="131"/>
      <c r="BF730" s="131"/>
      <c r="BG730" s="131"/>
      <c r="BH730" s="131"/>
      <c r="BI730" s="131"/>
      <c r="BJ730" s="131"/>
      <c r="BK730" s="131"/>
      <c r="BL730" s="131"/>
      <c r="BM730" s="131"/>
      <c r="BN730" s="131"/>
      <c r="BO730" s="131"/>
      <c r="BP730" s="131"/>
      <c r="BQ730" s="131"/>
      <c r="BR730" s="131"/>
      <c r="BS730" s="131"/>
      <c r="BT730" s="131"/>
      <c r="BU730" s="131"/>
      <c r="BV730" s="131"/>
      <c r="BW730" s="131"/>
      <c r="BX730" s="131"/>
      <c r="BY730" s="131"/>
      <c r="BZ730" s="131"/>
      <c r="CA730" s="131"/>
      <c r="CB730" s="131"/>
      <c r="CC730" s="131"/>
      <c r="CD730" s="131"/>
      <c r="CE730" s="131"/>
      <c r="CF730" s="131"/>
      <c r="CG730" s="131"/>
      <c r="CH730" s="131"/>
      <c r="CI730" s="131"/>
      <c r="CJ730" s="131"/>
      <c r="CK730" s="131"/>
      <c r="CL730" s="131"/>
      <c r="CM730" s="131"/>
      <c r="CN730" s="131"/>
      <c r="CO730" s="131"/>
      <c r="CP730" s="131"/>
      <c r="CQ730" s="131"/>
    </row>
    <row r="731" spans="1:95" ht="15" hidden="1" x14ac:dyDescent="0.25">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c r="AO731" s="131"/>
      <c r="AP731" s="131"/>
      <c r="AQ731" s="131"/>
      <c r="AR731" s="131"/>
      <c r="AS731" s="131"/>
      <c r="AT731" s="131"/>
      <c r="AU731" s="131"/>
      <c r="AV731" s="131"/>
      <c r="AW731" s="131"/>
      <c r="AX731" s="131"/>
      <c r="AY731" s="131"/>
      <c r="AZ731" s="131"/>
      <c r="BA731" s="131"/>
      <c r="BB731" s="131"/>
      <c r="BC731" s="131"/>
      <c r="BD731" s="131"/>
      <c r="BE731" s="131"/>
      <c r="BF731" s="131"/>
      <c r="BG731" s="131"/>
      <c r="BH731" s="131"/>
      <c r="BI731" s="131"/>
      <c r="BJ731" s="131"/>
      <c r="BK731" s="131"/>
      <c r="BL731" s="131"/>
      <c r="BM731" s="131"/>
      <c r="BN731" s="131"/>
      <c r="BO731" s="131"/>
      <c r="BP731" s="131"/>
      <c r="BQ731" s="131"/>
      <c r="BR731" s="131"/>
      <c r="BS731" s="131"/>
      <c r="BT731" s="131"/>
      <c r="BU731" s="131"/>
      <c r="BV731" s="131"/>
      <c r="BW731" s="131"/>
      <c r="BX731" s="131"/>
      <c r="BY731" s="131"/>
      <c r="BZ731" s="131"/>
      <c r="CA731" s="131"/>
      <c r="CB731" s="131"/>
      <c r="CC731" s="131"/>
      <c r="CD731" s="131"/>
      <c r="CE731" s="131"/>
      <c r="CF731" s="131"/>
      <c r="CG731" s="131"/>
      <c r="CH731" s="131"/>
      <c r="CI731" s="131"/>
      <c r="CJ731" s="131"/>
      <c r="CK731" s="131"/>
      <c r="CL731" s="131"/>
      <c r="CM731" s="131"/>
      <c r="CN731" s="131"/>
      <c r="CO731" s="131"/>
      <c r="CP731" s="131"/>
      <c r="CQ731" s="131"/>
    </row>
    <row r="732" spans="1:95" ht="15" hidden="1" x14ac:dyDescent="0.25">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c r="AO732" s="131"/>
      <c r="AP732" s="131"/>
      <c r="AQ732" s="131"/>
      <c r="AR732" s="131"/>
      <c r="AS732" s="131"/>
      <c r="AT732" s="131"/>
      <c r="AU732" s="131"/>
      <c r="AV732" s="131"/>
      <c r="AW732" s="131"/>
      <c r="AX732" s="131"/>
      <c r="AY732" s="131"/>
      <c r="AZ732" s="131"/>
      <c r="BA732" s="131"/>
      <c r="BB732" s="131"/>
      <c r="BC732" s="131"/>
      <c r="BD732" s="131"/>
      <c r="BE732" s="131"/>
      <c r="BF732" s="131"/>
      <c r="BG732" s="131"/>
      <c r="BH732" s="131"/>
      <c r="BI732" s="131"/>
      <c r="BJ732" s="131"/>
      <c r="BK732" s="131"/>
      <c r="BL732" s="131"/>
      <c r="BM732" s="131"/>
      <c r="BN732" s="131"/>
      <c r="BO732" s="131"/>
      <c r="BP732" s="131"/>
      <c r="BQ732" s="131"/>
      <c r="BR732" s="131"/>
      <c r="BS732" s="131"/>
      <c r="BT732" s="131"/>
      <c r="BU732" s="131"/>
      <c r="BV732" s="131"/>
      <c r="BW732" s="131"/>
      <c r="BX732" s="131"/>
      <c r="BY732" s="131"/>
      <c r="BZ732" s="131"/>
      <c r="CA732" s="131"/>
      <c r="CB732" s="131"/>
      <c r="CC732" s="131"/>
      <c r="CD732" s="131"/>
      <c r="CE732" s="131"/>
      <c r="CF732" s="131"/>
      <c r="CG732" s="131"/>
      <c r="CH732" s="131"/>
      <c r="CI732" s="131"/>
      <c r="CJ732" s="131"/>
      <c r="CK732" s="131"/>
      <c r="CL732" s="131"/>
      <c r="CM732" s="131"/>
      <c r="CN732" s="131"/>
      <c r="CO732" s="131"/>
      <c r="CP732" s="131"/>
      <c r="CQ732" s="131"/>
    </row>
    <row r="733" spans="1:95" ht="15" hidden="1" x14ac:dyDescent="0.25">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c r="AO733" s="131"/>
      <c r="AP733" s="131"/>
      <c r="AQ733" s="131"/>
      <c r="AR733" s="131"/>
      <c r="AS733" s="131"/>
      <c r="AT733" s="131"/>
      <c r="AU733" s="131"/>
      <c r="AV733" s="131"/>
      <c r="AW733" s="131"/>
      <c r="AX733" s="131"/>
      <c r="AY733" s="131"/>
      <c r="AZ733" s="131"/>
      <c r="BA733" s="131"/>
      <c r="BB733" s="131"/>
      <c r="BC733" s="131"/>
      <c r="BD733" s="131"/>
      <c r="BE733" s="131"/>
      <c r="BF733" s="131"/>
      <c r="BG733" s="131"/>
      <c r="BH733" s="131"/>
      <c r="BI733" s="131"/>
      <c r="BJ733" s="131"/>
      <c r="BK733" s="131"/>
      <c r="BL733" s="131"/>
      <c r="BM733" s="131"/>
      <c r="BN733" s="131"/>
      <c r="BO733" s="131"/>
      <c r="BP733" s="131"/>
      <c r="BQ733" s="131"/>
      <c r="BR733" s="131"/>
      <c r="BS733" s="131"/>
      <c r="BT733" s="131"/>
      <c r="BU733" s="131"/>
      <c r="BV733" s="131"/>
      <c r="BW733" s="131"/>
      <c r="BX733" s="131"/>
      <c r="BY733" s="131"/>
      <c r="BZ733" s="131"/>
      <c r="CA733" s="131"/>
      <c r="CB733" s="131"/>
      <c r="CC733" s="131"/>
      <c r="CD733" s="131"/>
      <c r="CE733" s="131"/>
      <c r="CF733" s="131"/>
      <c r="CG733" s="131"/>
      <c r="CH733" s="131"/>
      <c r="CI733" s="131"/>
      <c r="CJ733" s="131"/>
      <c r="CK733" s="131"/>
      <c r="CL733" s="131"/>
      <c r="CM733" s="131"/>
      <c r="CN733" s="131"/>
      <c r="CO733" s="131"/>
      <c r="CP733" s="131"/>
      <c r="CQ733" s="131"/>
    </row>
    <row r="734" spans="1:95" ht="15" hidden="1" x14ac:dyDescent="0.25">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c r="AO734" s="131"/>
      <c r="AP734" s="131"/>
      <c r="AQ734" s="131"/>
      <c r="AR734" s="131"/>
      <c r="AS734" s="131"/>
      <c r="AT734" s="131"/>
      <c r="AU734" s="131"/>
      <c r="AV734" s="131"/>
      <c r="AW734" s="131"/>
      <c r="AX734" s="131"/>
      <c r="AY734" s="131"/>
      <c r="AZ734" s="131"/>
      <c r="BA734" s="131"/>
      <c r="BB734" s="131"/>
      <c r="BC734" s="131"/>
      <c r="BD734" s="131"/>
      <c r="BE734" s="131"/>
      <c r="BF734" s="131"/>
      <c r="BG734" s="131"/>
      <c r="BH734" s="131"/>
      <c r="BI734" s="131"/>
      <c r="BJ734" s="131"/>
      <c r="BK734" s="131"/>
      <c r="BL734" s="131"/>
      <c r="BM734" s="131"/>
      <c r="BN734" s="131"/>
      <c r="BO734" s="131"/>
      <c r="BP734" s="131"/>
      <c r="BQ734" s="131"/>
      <c r="BR734" s="131"/>
      <c r="BS734" s="131"/>
      <c r="BT734" s="131"/>
      <c r="BU734" s="131"/>
      <c r="BV734" s="131"/>
      <c r="BW734" s="131"/>
      <c r="BX734" s="131"/>
      <c r="BY734" s="131"/>
      <c r="BZ734" s="131"/>
      <c r="CA734" s="131"/>
      <c r="CB734" s="131"/>
      <c r="CC734" s="131"/>
      <c r="CD734" s="131"/>
      <c r="CE734" s="131"/>
      <c r="CF734" s="131"/>
      <c r="CG734" s="131"/>
      <c r="CH734" s="131"/>
      <c r="CI734" s="131"/>
      <c r="CJ734" s="131"/>
      <c r="CK734" s="131"/>
      <c r="CL734" s="131"/>
      <c r="CM734" s="131"/>
      <c r="CN734" s="131"/>
      <c r="CO734" s="131"/>
      <c r="CP734" s="131"/>
      <c r="CQ734" s="131"/>
    </row>
    <row r="735" spans="1:95" ht="15" hidden="1" x14ac:dyDescent="0.25">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131"/>
      <c r="AY735" s="131"/>
      <c r="AZ735" s="131"/>
      <c r="BA735" s="131"/>
      <c r="BB735" s="131"/>
      <c r="BC735" s="131"/>
      <c r="BD735" s="131"/>
      <c r="BE735" s="131"/>
      <c r="BF735" s="131"/>
      <c r="BG735" s="131"/>
      <c r="BH735" s="131"/>
      <c r="BI735" s="131"/>
      <c r="BJ735" s="131"/>
      <c r="BK735" s="131"/>
      <c r="BL735" s="131"/>
      <c r="BM735" s="131"/>
      <c r="BN735" s="131"/>
      <c r="BO735" s="131"/>
      <c r="BP735" s="131"/>
      <c r="BQ735" s="131"/>
      <c r="BR735" s="131"/>
      <c r="BS735" s="131"/>
      <c r="BT735" s="131"/>
      <c r="BU735" s="131"/>
      <c r="BV735" s="131"/>
      <c r="BW735" s="131"/>
      <c r="BX735" s="131"/>
      <c r="BY735" s="131"/>
      <c r="BZ735" s="131"/>
      <c r="CA735" s="131"/>
      <c r="CB735" s="131"/>
      <c r="CC735" s="131"/>
      <c r="CD735" s="131"/>
      <c r="CE735" s="131"/>
      <c r="CF735" s="131"/>
      <c r="CG735" s="131"/>
      <c r="CH735" s="131"/>
      <c r="CI735" s="131"/>
      <c r="CJ735" s="131"/>
      <c r="CK735" s="131"/>
      <c r="CL735" s="131"/>
      <c r="CM735" s="131"/>
      <c r="CN735" s="131"/>
      <c r="CO735" s="131"/>
      <c r="CP735" s="131"/>
      <c r="CQ735" s="131"/>
    </row>
    <row r="736" spans="1:95" ht="15" hidden="1" x14ac:dyDescent="0.25">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c r="AO736" s="131"/>
      <c r="AP736" s="131"/>
      <c r="AQ736" s="131"/>
      <c r="AR736" s="131"/>
      <c r="AS736" s="131"/>
      <c r="AT736" s="131"/>
      <c r="AU736" s="131"/>
      <c r="AV736" s="131"/>
      <c r="AW736" s="131"/>
      <c r="AX736" s="131"/>
      <c r="AY736" s="131"/>
      <c r="AZ736" s="131"/>
      <c r="BA736" s="131"/>
      <c r="BB736" s="131"/>
      <c r="BC736" s="131"/>
      <c r="BD736" s="131"/>
      <c r="BE736" s="131"/>
      <c r="BF736" s="131"/>
      <c r="BG736" s="131"/>
      <c r="BH736" s="131"/>
      <c r="BI736" s="131"/>
      <c r="BJ736" s="131"/>
      <c r="BK736" s="131"/>
      <c r="BL736" s="131"/>
      <c r="BM736" s="131"/>
      <c r="BN736" s="131"/>
      <c r="BO736" s="131"/>
      <c r="BP736" s="131"/>
      <c r="BQ736" s="131"/>
      <c r="BR736" s="131"/>
      <c r="BS736" s="131"/>
      <c r="BT736" s="131"/>
      <c r="BU736" s="131"/>
      <c r="BV736" s="131"/>
      <c r="BW736" s="131"/>
      <c r="BX736" s="131"/>
      <c r="BY736" s="131"/>
      <c r="BZ736" s="131"/>
      <c r="CA736" s="131"/>
      <c r="CB736" s="131"/>
      <c r="CC736" s="131"/>
      <c r="CD736" s="131"/>
      <c r="CE736" s="131"/>
      <c r="CF736" s="131"/>
      <c r="CG736" s="131"/>
      <c r="CH736" s="131"/>
      <c r="CI736" s="131"/>
      <c r="CJ736" s="131"/>
      <c r="CK736" s="131"/>
      <c r="CL736" s="131"/>
      <c r="CM736" s="131"/>
      <c r="CN736" s="131"/>
      <c r="CO736" s="131"/>
      <c r="CP736" s="131"/>
      <c r="CQ736" s="131"/>
    </row>
    <row r="737" spans="1:95" ht="15" hidden="1" x14ac:dyDescent="0.25">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c r="AO737" s="131"/>
      <c r="AP737" s="131"/>
      <c r="AQ737" s="131"/>
      <c r="AR737" s="131"/>
      <c r="AS737" s="131"/>
      <c r="AT737" s="131"/>
      <c r="AU737" s="131"/>
      <c r="AV737" s="131"/>
      <c r="AW737" s="131"/>
      <c r="AX737" s="131"/>
      <c r="AY737" s="131"/>
      <c r="AZ737" s="131"/>
      <c r="BA737" s="131"/>
      <c r="BB737" s="131"/>
      <c r="BC737" s="131"/>
      <c r="BD737" s="131"/>
      <c r="BE737" s="131"/>
      <c r="BF737" s="131"/>
      <c r="BG737" s="131"/>
      <c r="BH737" s="131"/>
      <c r="BI737" s="131"/>
      <c r="BJ737" s="131"/>
      <c r="BK737" s="131"/>
      <c r="BL737" s="131"/>
      <c r="BM737" s="131"/>
      <c r="BN737" s="131"/>
      <c r="BO737" s="131"/>
      <c r="BP737" s="131"/>
      <c r="BQ737" s="131"/>
      <c r="BR737" s="131"/>
      <c r="BS737" s="131"/>
      <c r="BT737" s="131"/>
      <c r="BU737" s="131"/>
      <c r="BV737" s="131"/>
      <c r="BW737" s="131"/>
      <c r="BX737" s="131"/>
      <c r="BY737" s="131"/>
      <c r="BZ737" s="131"/>
      <c r="CA737" s="131"/>
      <c r="CB737" s="131"/>
      <c r="CC737" s="131"/>
      <c r="CD737" s="131"/>
      <c r="CE737" s="131"/>
      <c r="CF737" s="131"/>
      <c r="CG737" s="131"/>
      <c r="CH737" s="131"/>
      <c r="CI737" s="131"/>
      <c r="CJ737" s="131"/>
      <c r="CK737" s="131"/>
      <c r="CL737" s="131"/>
      <c r="CM737" s="131"/>
      <c r="CN737" s="131"/>
      <c r="CO737" s="131"/>
      <c r="CP737" s="131"/>
      <c r="CQ737" s="131"/>
    </row>
    <row r="738" spans="1:95" ht="15" hidden="1" x14ac:dyDescent="0.25">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c r="AO738" s="131"/>
      <c r="AP738" s="131"/>
      <c r="AQ738" s="131"/>
      <c r="AR738" s="131"/>
      <c r="AS738" s="131"/>
      <c r="AT738" s="131"/>
      <c r="AU738" s="131"/>
      <c r="AV738" s="131"/>
      <c r="AW738" s="131"/>
      <c r="AX738" s="131"/>
      <c r="AY738" s="131"/>
      <c r="AZ738" s="131"/>
      <c r="BA738" s="131"/>
      <c r="BB738" s="131"/>
      <c r="BC738" s="131"/>
      <c r="BD738" s="131"/>
      <c r="BE738" s="131"/>
      <c r="BF738" s="131"/>
      <c r="BG738" s="131"/>
      <c r="BH738" s="131"/>
      <c r="BI738" s="131"/>
      <c r="BJ738" s="131"/>
      <c r="BK738" s="131"/>
      <c r="BL738" s="131"/>
      <c r="BM738" s="131"/>
      <c r="BN738" s="131"/>
      <c r="BO738" s="131"/>
      <c r="BP738" s="131"/>
      <c r="BQ738" s="131"/>
      <c r="BR738" s="131"/>
      <c r="BS738" s="131"/>
      <c r="BT738" s="131"/>
      <c r="BU738" s="131"/>
      <c r="BV738" s="131"/>
      <c r="BW738" s="131"/>
      <c r="BX738" s="131"/>
      <c r="BY738" s="131"/>
      <c r="BZ738" s="131"/>
      <c r="CA738" s="131"/>
      <c r="CB738" s="131"/>
      <c r="CC738" s="131"/>
      <c r="CD738" s="131"/>
      <c r="CE738" s="131"/>
      <c r="CF738" s="131"/>
      <c r="CG738" s="131"/>
      <c r="CH738" s="131"/>
      <c r="CI738" s="131"/>
      <c r="CJ738" s="131"/>
      <c r="CK738" s="131"/>
      <c r="CL738" s="131"/>
      <c r="CM738" s="131"/>
      <c r="CN738" s="131"/>
      <c r="CO738" s="131"/>
      <c r="CP738" s="131"/>
      <c r="CQ738" s="131"/>
    </row>
    <row r="739" spans="1:95" ht="15" hidden="1" x14ac:dyDescent="0.25">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c r="AO739" s="131"/>
      <c r="AP739" s="131"/>
      <c r="AQ739" s="131"/>
      <c r="AR739" s="131"/>
      <c r="AS739" s="131"/>
      <c r="AT739" s="131"/>
      <c r="AU739" s="131"/>
      <c r="AV739" s="131"/>
      <c r="AW739" s="131"/>
      <c r="AX739" s="131"/>
      <c r="AY739" s="131"/>
      <c r="AZ739" s="131"/>
      <c r="BA739" s="131"/>
      <c r="BB739" s="131"/>
      <c r="BC739" s="131"/>
      <c r="BD739" s="131"/>
      <c r="BE739" s="131"/>
      <c r="BF739" s="131"/>
      <c r="BG739" s="131"/>
      <c r="BH739" s="131"/>
      <c r="BI739" s="131"/>
      <c r="BJ739" s="131"/>
      <c r="BK739" s="131"/>
      <c r="BL739" s="131"/>
      <c r="BM739" s="131"/>
      <c r="BN739" s="131"/>
      <c r="BO739" s="131"/>
      <c r="BP739" s="131"/>
      <c r="BQ739" s="131"/>
      <c r="BR739" s="131"/>
      <c r="BS739" s="131"/>
      <c r="BT739" s="131"/>
      <c r="BU739" s="131"/>
      <c r="BV739" s="131"/>
      <c r="BW739" s="131"/>
      <c r="BX739" s="131"/>
      <c r="BY739" s="131"/>
      <c r="BZ739" s="131"/>
      <c r="CA739" s="131"/>
      <c r="CB739" s="131"/>
      <c r="CC739" s="131"/>
      <c r="CD739" s="131"/>
      <c r="CE739" s="131"/>
      <c r="CF739" s="131"/>
      <c r="CG739" s="131"/>
      <c r="CH739" s="131"/>
      <c r="CI739" s="131"/>
      <c r="CJ739" s="131"/>
      <c r="CK739" s="131"/>
      <c r="CL739" s="131"/>
      <c r="CM739" s="131"/>
      <c r="CN739" s="131"/>
      <c r="CO739" s="131"/>
      <c r="CP739" s="131"/>
      <c r="CQ739" s="131"/>
    </row>
    <row r="740" spans="1:95" ht="15" hidden="1" x14ac:dyDescent="0.25">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c r="AO740" s="131"/>
      <c r="AP740" s="131"/>
      <c r="AQ740" s="131"/>
      <c r="AR740" s="131"/>
      <c r="AS740" s="131"/>
      <c r="AT740" s="131"/>
      <c r="AU740" s="131"/>
      <c r="AV740" s="131"/>
      <c r="AW740" s="131"/>
      <c r="AX740" s="131"/>
      <c r="AY740" s="131"/>
      <c r="AZ740" s="131"/>
      <c r="BA740" s="131"/>
      <c r="BB740" s="131"/>
      <c r="BC740" s="131"/>
      <c r="BD740" s="131"/>
      <c r="BE740" s="131"/>
      <c r="BF740" s="131"/>
      <c r="BG740" s="131"/>
      <c r="BH740" s="131"/>
      <c r="BI740" s="131"/>
      <c r="BJ740" s="131"/>
      <c r="BK740" s="131"/>
      <c r="BL740" s="131"/>
      <c r="BM740" s="131"/>
      <c r="BN740" s="131"/>
      <c r="BO740" s="131"/>
      <c r="BP740" s="131"/>
      <c r="BQ740" s="131"/>
      <c r="BR740" s="131"/>
      <c r="BS740" s="131"/>
      <c r="BT740" s="131"/>
      <c r="BU740" s="131"/>
      <c r="BV740" s="131"/>
      <c r="BW740" s="131"/>
      <c r="BX740" s="131"/>
      <c r="BY740" s="131"/>
      <c r="BZ740" s="131"/>
      <c r="CA740" s="131"/>
      <c r="CB740" s="131"/>
      <c r="CC740" s="131"/>
      <c r="CD740" s="131"/>
      <c r="CE740" s="131"/>
      <c r="CF740" s="131"/>
      <c r="CG740" s="131"/>
      <c r="CH740" s="131"/>
      <c r="CI740" s="131"/>
      <c r="CJ740" s="131"/>
      <c r="CK740" s="131"/>
      <c r="CL740" s="131"/>
      <c r="CM740" s="131"/>
      <c r="CN740" s="131"/>
      <c r="CO740" s="131"/>
      <c r="CP740" s="131"/>
      <c r="CQ740" s="131"/>
    </row>
    <row r="741" spans="1:95" ht="15" hidden="1" x14ac:dyDescent="0.25">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c r="AO741" s="131"/>
      <c r="AP741" s="131"/>
      <c r="AQ741" s="131"/>
      <c r="AR741" s="131"/>
      <c r="AS741" s="131"/>
      <c r="AT741" s="131"/>
      <c r="AU741" s="131"/>
      <c r="AV741" s="131"/>
      <c r="AW741" s="131"/>
      <c r="AX741" s="131"/>
      <c r="AY741" s="131"/>
      <c r="AZ741" s="131"/>
      <c r="BA741" s="131"/>
      <c r="BB741" s="131"/>
      <c r="BC741" s="131"/>
      <c r="BD741" s="131"/>
      <c r="BE741" s="131"/>
      <c r="BF741" s="131"/>
      <c r="BG741" s="131"/>
      <c r="BH741" s="131"/>
      <c r="BI741" s="131"/>
      <c r="BJ741" s="131"/>
      <c r="BK741" s="131"/>
      <c r="BL741" s="131"/>
      <c r="BM741" s="131"/>
      <c r="BN741" s="131"/>
      <c r="BO741" s="131"/>
      <c r="BP741" s="131"/>
      <c r="BQ741" s="131"/>
      <c r="BR741" s="131"/>
      <c r="BS741" s="131"/>
      <c r="BT741" s="131"/>
      <c r="BU741" s="131"/>
      <c r="BV741" s="131"/>
      <c r="BW741" s="131"/>
      <c r="BX741" s="131"/>
      <c r="BY741" s="131"/>
      <c r="BZ741" s="131"/>
      <c r="CA741" s="131"/>
      <c r="CB741" s="131"/>
      <c r="CC741" s="131"/>
      <c r="CD741" s="131"/>
      <c r="CE741" s="131"/>
      <c r="CF741" s="131"/>
      <c r="CG741" s="131"/>
      <c r="CH741" s="131"/>
      <c r="CI741" s="131"/>
      <c r="CJ741" s="131"/>
      <c r="CK741" s="131"/>
      <c r="CL741" s="131"/>
      <c r="CM741" s="131"/>
      <c r="CN741" s="131"/>
      <c r="CO741" s="131"/>
      <c r="CP741" s="131"/>
      <c r="CQ741" s="131"/>
    </row>
    <row r="742" spans="1:95" ht="15" hidden="1" x14ac:dyDescent="0.25">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c r="AO742" s="131"/>
      <c r="AP742" s="131"/>
      <c r="AQ742" s="131"/>
      <c r="AR742" s="131"/>
      <c r="AS742" s="131"/>
      <c r="AT742" s="131"/>
      <c r="AU742" s="131"/>
      <c r="AV742" s="131"/>
      <c r="AW742" s="131"/>
      <c r="AX742" s="131"/>
      <c r="AY742" s="131"/>
      <c r="AZ742" s="131"/>
      <c r="BA742" s="131"/>
      <c r="BB742" s="131"/>
      <c r="BC742" s="131"/>
      <c r="BD742" s="131"/>
      <c r="BE742" s="131"/>
      <c r="BF742" s="131"/>
      <c r="BG742" s="131"/>
      <c r="BH742" s="131"/>
      <c r="BI742" s="131"/>
      <c r="BJ742" s="131"/>
      <c r="BK742" s="131"/>
      <c r="BL742" s="131"/>
      <c r="BM742" s="131"/>
      <c r="BN742" s="131"/>
      <c r="BO742" s="131"/>
      <c r="BP742" s="131"/>
      <c r="BQ742" s="131"/>
      <c r="BR742" s="131"/>
      <c r="BS742" s="131"/>
      <c r="BT742" s="131"/>
      <c r="BU742" s="131"/>
      <c r="BV742" s="131"/>
      <c r="BW742" s="131"/>
      <c r="BX742" s="131"/>
      <c r="BY742" s="131"/>
      <c r="BZ742" s="131"/>
      <c r="CA742" s="131"/>
      <c r="CB742" s="131"/>
      <c r="CC742" s="131"/>
      <c r="CD742" s="131"/>
      <c r="CE742" s="131"/>
      <c r="CF742" s="131"/>
      <c r="CG742" s="131"/>
      <c r="CH742" s="131"/>
      <c r="CI742" s="131"/>
      <c r="CJ742" s="131"/>
      <c r="CK742" s="131"/>
      <c r="CL742" s="131"/>
      <c r="CM742" s="131"/>
      <c r="CN742" s="131"/>
      <c r="CO742" s="131"/>
      <c r="CP742" s="131"/>
      <c r="CQ742" s="131"/>
    </row>
    <row r="743" spans="1:95" ht="15" hidden="1" x14ac:dyDescent="0.25">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c r="AO743" s="131"/>
      <c r="AP743" s="131"/>
      <c r="AQ743" s="131"/>
      <c r="AR743" s="131"/>
      <c r="AS743" s="131"/>
      <c r="AT743" s="131"/>
      <c r="AU743" s="131"/>
      <c r="AV743" s="131"/>
      <c r="AW743" s="131"/>
      <c r="AX743" s="131"/>
      <c r="AY743" s="131"/>
      <c r="AZ743" s="131"/>
      <c r="BA743" s="131"/>
      <c r="BB743" s="131"/>
      <c r="BC743" s="131"/>
      <c r="BD743" s="131"/>
      <c r="BE743" s="131"/>
      <c r="BF743" s="131"/>
      <c r="BG743" s="131"/>
      <c r="BH743" s="131"/>
      <c r="BI743" s="131"/>
      <c r="BJ743" s="131"/>
      <c r="BK743" s="131"/>
      <c r="BL743" s="131"/>
      <c r="BM743" s="131"/>
      <c r="BN743" s="131"/>
      <c r="BO743" s="131"/>
      <c r="BP743" s="131"/>
      <c r="BQ743" s="131"/>
      <c r="BR743" s="131"/>
      <c r="BS743" s="131"/>
      <c r="BT743" s="131"/>
      <c r="BU743" s="131"/>
      <c r="BV743" s="131"/>
      <c r="BW743" s="131"/>
      <c r="BX743" s="131"/>
      <c r="BY743" s="131"/>
      <c r="BZ743" s="131"/>
      <c r="CA743" s="131"/>
      <c r="CB743" s="131"/>
      <c r="CC743" s="131"/>
      <c r="CD743" s="131"/>
      <c r="CE743" s="131"/>
      <c r="CF743" s="131"/>
      <c r="CG743" s="131"/>
      <c r="CH743" s="131"/>
      <c r="CI743" s="131"/>
      <c r="CJ743" s="131"/>
      <c r="CK743" s="131"/>
      <c r="CL743" s="131"/>
      <c r="CM743" s="131"/>
      <c r="CN743" s="131"/>
      <c r="CO743" s="131"/>
      <c r="CP743" s="131"/>
      <c r="CQ743" s="131"/>
    </row>
    <row r="744" spans="1:95" ht="15" hidden="1" x14ac:dyDescent="0.25">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c r="AO744" s="131"/>
      <c r="AP744" s="131"/>
      <c r="AQ744" s="131"/>
      <c r="AR744" s="131"/>
      <c r="AS744" s="131"/>
      <c r="AT744" s="131"/>
      <c r="AU744" s="131"/>
      <c r="AV744" s="131"/>
      <c r="AW744" s="131"/>
      <c r="AX744" s="131"/>
      <c r="AY744" s="131"/>
      <c r="AZ744" s="131"/>
      <c r="BA744" s="131"/>
      <c r="BB744" s="131"/>
      <c r="BC744" s="131"/>
      <c r="BD744" s="131"/>
      <c r="BE744" s="131"/>
      <c r="BF744" s="131"/>
      <c r="BG744" s="131"/>
      <c r="BH744" s="131"/>
      <c r="BI744" s="131"/>
      <c r="BJ744" s="131"/>
      <c r="BK744" s="131"/>
      <c r="BL744" s="131"/>
      <c r="BM744" s="131"/>
      <c r="BN744" s="131"/>
      <c r="BO744" s="131"/>
      <c r="BP744" s="131"/>
      <c r="BQ744" s="131"/>
      <c r="BR744" s="131"/>
      <c r="BS744" s="131"/>
      <c r="BT744" s="131"/>
      <c r="BU744" s="131"/>
      <c r="BV744" s="131"/>
      <c r="BW744" s="131"/>
      <c r="BX744" s="131"/>
      <c r="BY744" s="131"/>
      <c r="BZ744" s="131"/>
      <c r="CA744" s="131"/>
      <c r="CB744" s="131"/>
      <c r="CC744" s="131"/>
      <c r="CD744" s="131"/>
      <c r="CE744" s="131"/>
      <c r="CF744" s="131"/>
      <c r="CG744" s="131"/>
      <c r="CH744" s="131"/>
      <c r="CI744" s="131"/>
      <c r="CJ744" s="131"/>
      <c r="CK744" s="131"/>
      <c r="CL744" s="131"/>
      <c r="CM744" s="131"/>
      <c r="CN744" s="131"/>
      <c r="CO744" s="131"/>
      <c r="CP744" s="131"/>
      <c r="CQ744" s="131"/>
    </row>
    <row r="745" spans="1:95" ht="15" hidden="1" x14ac:dyDescent="0.25">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c r="AO745" s="131"/>
      <c r="AP745" s="131"/>
      <c r="AQ745" s="131"/>
      <c r="AR745" s="131"/>
      <c r="AS745" s="131"/>
      <c r="AT745" s="131"/>
      <c r="AU745" s="131"/>
      <c r="AV745" s="131"/>
      <c r="AW745" s="131"/>
      <c r="AX745" s="131"/>
      <c r="AY745" s="131"/>
      <c r="AZ745" s="131"/>
      <c r="BA745" s="131"/>
      <c r="BB745" s="131"/>
      <c r="BC745" s="131"/>
      <c r="BD745" s="131"/>
      <c r="BE745" s="131"/>
      <c r="BF745" s="131"/>
      <c r="BG745" s="131"/>
      <c r="BH745" s="131"/>
      <c r="BI745" s="131"/>
      <c r="BJ745" s="131"/>
      <c r="BK745" s="131"/>
      <c r="BL745" s="131"/>
      <c r="BM745" s="131"/>
      <c r="BN745" s="131"/>
      <c r="BO745" s="131"/>
      <c r="BP745" s="131"/>
      <c r="BQ745" s="131"/>
      <c r="BR745" s="131"/>
      <c r="BS745" s="131"/>
      <c r="BT745" s="131"/>
      <c r="BU745" s="131"/>
      <c r="BV745" s="131"/>
      <c r="BW745" s="131"/>
      <c r="BX745" s="131"/>
      <c r="BY745" s="131"/>
      <c r="BZ745" s="131"/>
      <c r="CA745" s="131"/>
      <c r="CB745" s="131"/>
      <c r="CC745" s="131"/>
      <c r="CD745" s="131"/>
      <c r="CE745" s="131"/>
      <c r="CF745" s="131"/>
      <c r="CG745" s="131"/>
      <c r="CH745" s="131"/>
      <c r="CI745" s="131"/>
      <c r="CJ745" s="131"/>
      <c r="CK745" s="131"/>
      <c r="CL745" s="131"/>
      <c r="CM745" s="131"/>
      <c r="CN745" s="131"/>
      <c r="CO745" s="131"/>
      <c r="CP745" s="131"/>
      <c r="CQ745" s="131"/>
    </row>
    <row r="746" spans="1:95" ht="15" hidden="1" x14ac:dyDescent="0.25">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c r="AO746" s="131"/>
      <c r="AP746" s="131"/>
      <c r="AQ746" s="131"/>
      <c r="AR746" s="131"/>
      <c r="AS746" s="131"/>
      <c r="AT746" s="131"/>
      <c r="AU746" s="131"/>
      <c r="AV746" s="131"/>
      <c r="AW746" s="131"/>
      <c r="AX746" s="131"/>
      <c r="AY746" s="131"/>
      <c r="AZ746" s="131"/>
      <c r="BA746" s="131"/>
      <c r="BB746" s="131"/>
      <c r="BC746" s="131"/>
      <c r="BD746" s="131"/>
      <c r="BE746" s="131"/>
      <c r="BF746" s="131"/>
      <c r="BG746" s="131"/>
      <c r="BH746" s="131"/>
      <c r="BI746" s="131"/>
      <c r="BJ746" s="131"/>
      <c r="BK746" s="131"/>
      <c r="BL746" s="131"/>
      <c r="BM746" s="131"/>
      <c r="BN746" s="131"/>
      <c r="BO746" s="131"/>
      <c r="BP746" s="131"/>
      <c r="BQ746" s="131"/>
      <c r="BR746" s="131"/>
      <c r="BS746" s="131"/>
      <c r="BT746" s="131"/>
      <c r="BU746" s="131"/>
      <c r="BV746" s="131"/>
      <c r="BW746" s="131"/>
      <c r="BX746" s="131"/>
      <c r="BY746" s="131"/>
      <c r="BZ746" s="131"/>
      <c r="CA746" s="131"/>
      <c r="CB746" s="131"/>
      <c r="CC746" s="131"/>
      <c r="CD746" s="131"/>
      <c r="CE746" s="131"/>
      <c r="CF746" s="131"/>
      <c r="CG746" s="131"/>
      <c r="CH746" s="131"/>
      <c r="CI746" s="131"/>
      <c r="CJ746" s="131"/>
      <c r="CK746" s="131"/>
      <c r="CL746" s="131"/>
      <c r="CM746" s="131"/>
      <c r="CN746" s="131"/>
      <c r="CO746" s="131"/>
      <c r="CP746" s="131"/>
      <c r="CQ746" s="131"/>
    </row>
    <row r="747" spans="1:95" ht="15" hidden="1" x14ac:dyDescent="0.25">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c r="AO747" s="131"/>
      <c r="AP747" s="131"/>
      <c r="AQ747" s="131"/>
      <c r="AR747" s="131"/>
      <c r="AS747" s="131"/>
      <c r="AT747" s="131"/>
      <c r="AU747" s="131"/>
      <c r="AV747" s="131"/>
      <c r="AW747" s="131"/>
      <c r="AX747" s="131"/>
      <c r="AY747" s="131"/>
      <c r="AZ747" s="131"/>
      <c r="BA747" s="131"/>
      <c r="BB747" s="131"/>
      <c r="BC747" s="131"/>
      <c r="BD747" s="131"/>
      <c r="BE747" s="131"/>
      <c r="BF747" s="131"/>
      <c r="BG747" s="131"/>
      <c r="BH747" s="131"/>
      <c r="BI747" s="131"/>
      <c r="BJ747" s="131"/>
      <c r="BK747" s="131"/>
      <c r="BL747" s="131"/>
      <c r="BM747" s="131"/>
      <c r="BN747" s="131"/>
      <c r="BO747" s="131"/>
      <c r="BP747" s="131"/>
      <c r="BQ747" s="131"/>
      <c r="BR747" s="131"/>
      <c r="BS747" s="131"/>
      <c r="BT747" s="131"/>
      <c r="BU747" s="131"/>
      <c r="BV747" s="131"/>
      <c r="BW747" s="131"/>
      <c r="BX747" s="131"/>
      <c r="BY747" s="131"/>
      <c r="BZ747" s="131"/>
      <c r="CA747" s="131"/>
      <c r="CB747" s="131"/>
      <c r="CC747" s="131"/>
      <c r="CD747" s="131"/>
      <c r="CE747" s="131"/>
      <c r="CF747" s="131"/>
      <c r="CG747" s="131"/>
      <c r="CH747" s="131"/>
      <c r="CI747" s="131"/>
      <c r="CJ747" s="131"/>
      <c r="CK747" s="131"/>
      <c r="CL747" s="131"/>
      <c r="CM747" s="131"/>
      <c r="CN747" s="131"/>
      <c r="CO747" s="131"/>
      <c r="CP747" s="131"/>
      <c r="CQ747" s="131"/>
    </row>
    <row r="748" spans="1:95" ht="15" hidden="1" x14ac:dyDescent="0.25">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c r="AO748" s="131"/>
      <c r="AP748" s="131"/>
      <c r="AQ748" s="131"/>
      <c r="AR748" s="131"/>
      <c r="AS748" s="131"/>
      <c r="AT748" s="131"/>
      <c r="AU748" s="131"/>
      <c r="AV748" s="131"/>
      <c r="AW748" s="131"/>
      <c r="AX748" s="131"/>
      <c r="AY748" s="131"/>
      <c r="AZ748" s="131"/>
      <c r="BA748" s="131"/>
      <c r="BB748" s="131"/>
      <c r="BC748" s="131"/>
      <c r="BD748" s="131"/>
      <c r="BE748" s="131"/>
      <c r="BF748" s="131"/>
      <c r="BG748" s="131"/>
      <c r="BH748" s="131"/>
      <c r="BI748" s="131"/>
      <c r="BJ748" s="131"/>
      <c r="BK748" s="131"/>
      <c r="BL748" s="131"/>
      <c r="BM748" s="131"/>
      <c r="BN748" s="131"/>
      <c r="BO748" s="131"/>
      <c r="BP748" s="131"/>
      <c r="BQ748" s="131"/>
      <c r="BR748" s="131"/>
      <c r="BS748" s="131"/>
      <c r="BT748" s="131"/>
      <c r="BU748" s="131"/>
      <c r="BV748" s="131"/>
      <c r="BW748" s="131"/>
      <c r="BX748" s="131"/>
      <c r="BY748" s="131"/>
      <c r="BZ748" s="131"/>
      <c r="CA748" s="131"/>
      <c r="CB748" s="131"/>
      <c r="CC748" s="131"/>
      <c r="CD748" s="131"/>
      <c r="CE748" s="131"/>
      <c r="CF748" s="131"/>
      <c r="CG748" s="131"/>
      <c r="CH748" s="131"/>
      <c r="CI748" s="131"/>
      <c r="CJ748" s="131"/>
      <c r="CK748" s="131"/>
      <c r="CL748" s="131"/>
      <c r="CM748" s="131"/>
      <c r="CN748" s="131"/>
      <c r="CO748" s="131"/>
      <c r="CP748" s="131"/>
      <c r="CQ748" s="131"/>
    </row>
    <row r="749" spans="1:95" ht="15" hidden="1" x14ac:dyDescent="0.25">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c r="AO749" s="131"/>
      <c r="AP749" s="131"/>
      <c r="AQ749" s="131"/>
      <c r="AR749" s="131"/>
      <c r="AS749" s="131"/>
      <c r="AT749" s="131"/>
      <c r="AU749" s="131"/>
      <c r="AV749" s="131"/>
      <c r="AW749" s="131"/>
      <c r="AX749" s="131"/>
      <c r="AY749" s="131"/>
      <c r="AZ749" s="131"/>
      <c r="BA749" s="131"/>
      <c r="BB749" s="131"/>
      <c r="BC749" s="131"/>
      <c r="BD749" s="131"/>
      <c r="BE749" s="131"/>
      <c r="BF749" s="131"/>
      <c r="BG749" s="131"/>
      <c r="BH749" s="131"/>
      <c r="BI749" s="131"/>
      <c r="BJ749" s="131"/>
      <c r="BK749" s="131"/>
      <c r="BL749" s="131"/>
      <c r="BM749" s="131"/>
      <c r="BN749" s="131"/>
      <c r="BO749" s="131"/>
      <c r="BP749" s="131"/>
      <c r="BQ749" s="131"/>
      <c r="BR749" s="131"/>
      <c r="BS749" s="131"/>
      <c r="BT749" s="131"/>
      <c r="BU749" s="131"/>
      <c r="BV749" s="131"/>
      <c r="BW749" s="131"/>
      <c r="BX749" s="131"/>
      <c r="BY749" s="131"/>
      <c r="BZ749" s="131"/>
      <c r="CA749" s="131"/>
      <c r="CB749" s="131"/>
      <c r="CC749" s="131"/>
      <c r="CD749" s="131"/>
      <c r="CE749" s="131"/>
      <c r="CF749" s="131"/>
      <c r="CG749" s="131"/>
      <c r="CH749" s="131"/>
      <c r="CI749" s="131"/>
      <c r="CJ749" s="131"/>
      <c r="CK749" s="131"/>
      <c r="CL749" s="131"/>
      <c r="CM749" s="131"/>
      <c r="CN749" s="131"/>
      <c r="CO749" s="131"/>
      <c r="CP749" s="131"/>
      <c r="CQ749" s="131"/>
    </row>
    <row r="750" spans="1:95" ht="15" hidden="1" x14ac:dyDescent="0.25">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c r="AO750" s="131"/>
      <c r="AP750" s="131"/>
      <c r="AQ750" s="131"/>
      <c r="AR750" s="131"/>
      <c r="AS750" s="131"/>
      <c r="AT750" s="131"/>
      <c r="AU750" s="131"/>
      <c r="AV750" s="131"/>
      <c r="AW750" s="131"/>
      <c r="AX750" s="131"/>
      <c r="AY750" s="131"/>
      <c r="AZ750" s="131"/>
      <c r="BA750" s="131"/>
      <c r="BB750" s="131"/>
      <c r="BC750" s="131"/>
      <c r="BD750" s="131"/>
      <c r="BE750" s="131"/>
      <c r="BF750" s="131"/>
      <c r="BG750" s="131"/>
      <c r="BH750" s="131"/>
      <c r="BI750" s="131"/>
      <c r="BJ750" s="131"/>
      <c r="BK750" s="131"/>
      <c r="BL750" s="131"/>
      <c r="BM750" s="131"/>
      <c r="BN750" s="131"/>
      <c r="BO750" s="131"/>
      <c r="BP750" s="131"/>
      <c r="BQ750" s="131"/>
      <c r="BR750" s="131"/>
      <c r="BS750" s="131"/>
      <c r="BT750" s="131"/>
      <c r="BU750" s="131"/>
      <c r="BV750" s="131"/>
      <c r="BW750" s="131"/>
      <c r="BX750" s="131"/>
      <c r="BY750" s="131"/>
      <c r="BZ750" s="131"/>
      <c r="CA750" s="131"/>
      <c r="CB750" s="131"/>
      <c r="CC750" s="131"/>
      <c r="CD750" s="131"/>
      <c r="CE750" s="131"/>
      <c r="CF750" s="131"/>
      <c r="CG750" s="131"/>
      <c r="CH750" s="131"/>
      <c r="CI750" s="131"/>
      <c r="CJ750" s="131"/>
      <c r="CK750" s="131"/>
      <c r="CL750" s="131"/>
      <c r="CM750" s="131"/>
      <c r="CN750" s="131"/>
      <c r="CO750" s="131"/>
      <c r="CP750" s="131"/>
      <c r="CQ750" s="131"/>
    </row>
    <row r="751" spans="1:95" ht="15" hidden="1" x14ac:dyDescent="0.25">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c r="AO751" s="131"/>
      <c r="AP751" s="131"/>
      <c r="AQ751" s="131"/>
      <c r="AR751" s="131"/>
      <c r="AS751" s="131"/>
      <c r="AT751" s="131"/>
      <c r="AU751" s="131"/>
      <c r="AV751" s="131"/>
      <c r="AW751" s="131"/>
      <c r="AX751" s="131"/>
      <c r="AY751" s="131"/>
      <c r="AZ751" s="131"/>
      <c r="BA751" s="131"/>
      <c r="BB751" s="131"/>
      <c r="BC751" s="131"/>
      <c r="BD751" s="131"/>
      <c r="BE751" s="131"/>
      <c r="BF751" s="131"/>
      <c r="BG751" s="131"/>
      <c r="BH751" s="131"/>
      <c r="BI751" s="131"/>
      <c r="BJ751" s="131"/>
      <c r="BK751" s="131"/>
      <c r="BL751" s="131"/>
      <c r="BM751" s="131"/>
      <c r="BN751" s="131"/>
      <c r="BO751" s="131"/>
      <c r="BP751" s="131"/>
      <c r="BQ751" s="131"/>
      <c r="BR751" s="131"/>
      <c r="BS751" s="131"/>
      <c r="BT751" s="131"/>
      <c r="BU751" s="131"/>
      <c r="BV751" s="131"/>
      <c r="BW751" s="131"/>
      <c r="BX751" s="131"/>
      <c r="BY751" s="131"/>
      <c r="BZ751" s="131"/>
      <c r="CA751" s="131"/>
      <c r="CB751" s="131"/>
      <c r="CC751" s="131"/>
      <c r="CD751" s="131"/>
      <c r="CE751" s="131"/>
      <c r="CF751" s="131"/>
      <c r="CG751" s="131"/>
      <c r="CH751" s="131"/>
      <c r="CI751" s="131"/>
      <c r="CJ751" s="131"/>
      <c r="CK751" s="131"/>
      <c r="CL751" s="131"/>
      <c r="CM751" s="131"/>
      <c r="CN751" s="131"/>
      <c r="CO751" s="131"/>
      <c r="CP751" s="131"/>
      <c r="CQ751" s="131"/>
    </row>
    <row r="752" spans="1:95" ht="15" hidden="1" x14ac:dyDescent="0.25">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c r="AO752" s="131"/>
      <c r="AP752" s="131"/>
      <c r="AQ752" s="131"/>
      <c r="AR752" s="131"/>
      <c r="AS752" s="131"/>
      <c r="AT752" s="131"/>
      <c r="AU752" s="131"/>
      <c r="AV752" s="131"/>
      <c r="AW752" s="131"/>
      <c r="AX752" s="131"/>
      <c r="AY752" s="131"/>
      <c r="AZ752" s="131"/>
      <c r="BA752" s="131"/>
      <c r="BB752" s="131"/>
      <c r="BC752" s="131"/>
      <c r="BD752" s="131"/>
      <c r="BE752" s="131"/>
      <c r="BF752" s="131"/>
      <c r="BG752" s="131"/>
      <c r="BH752" s="131"/>
      <c r="BI752" s="131"/>
      <c r="BJ752" s="131"/>
      <c r="BK752" s="131"/>
      <c r="BL752" s="131"/>
      <c r="BM752" s="131"/>
      <c r="BN752" s="131"/>
      <c r="BO752" s="131"/>
      <c r="BP752" s="131"/>
      <c r="BQ752" s="131"/>
      <c r="BR752" s="131"/>
      <c r="BS752" s="131"/>
      <c r="BT752" s="131"/>
      <c r="BU752" s="131"/>
      <c r="BV752" s="131"/>
      <c r="BW752" s="131"/>
      <c r="BX752" s="131"/>
      <c r="BY752" s="131"/>
      <c r="BZ752" s="131"/>
      <c r="CA752" s="131"/>
      <c r="CB752" s="131"/>
      <c r="CC752" s="131"/>
      <c r="CD752" s="131"/>
      <c r="CE752" s="131"/>
      <c r="CF752" s="131"/>
      <c r="CG752" s="131"/>
      <c r="CH752" s="131"/>
      <c r="CI752" s="131"/>
      <c r="CJ752" s="131"/>
      <c r="CK752" s="131"/>
      <c r="CL752" s="131"/>
      <c r="CM752" s="131"/>
      <c r="CN752" s="131"/>
      <c r="CO752" s="131"/>
      <c r="CP752" s="131"/>
      <c r="CQ752" s="131"/>
    </row>
    <row r="753" spans="1:95" ht="15" hidden="1" x14ac:dyDescent="0.25">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c r="AO753" s="131"/>
      <c r="AP753" s="131"/>
      <c r="AQ753" s="131"/>
      <c r="AR753" s="131"/>
      <c r="AS753" s="131"/>
      <c r="AT753" s="131"/>
      <c r="AU753" s="131"/>
      <c r="AV753" s="131"/>
      <c r="AW753" s="131"/>
      <c r="AX753" s="131"/>
      <c r="AY753" s="131"/>
      <c r="AZ753" s="131"/>
      <c r="BA753" s="131"/>
      <c r="BB753" s="131"/>
      <c r="BC753" s="131"/>
      <c r="BD753" s="131"/>
      <c r="BE753" s="131"/>
      <c r="BF753" s="131"/>
      <c r="BG753" s="131"/>
      <c r="BH753" s="131"/>
      <c r="BI753" s="131"/>
      <c r="BJ753" s="131"/>
      <c r="BK753" s="131"/>
      <c r="BL753" s="131"/>
      <c r="BM753" s="131"/>
      <c r="BN753" s="131"/>
      <c r="BO753" s="131"/>
      <c r="BP753" s="131"/>
      <c r="BQ753" s="131"/>
      <c r="BR753" s="131"/>
      <c r="BS753" s="131"/>
      <c r="BT753" s="131"/>
      <c r="BU753" s="131"/>
      <c r="BV753" s="131"/>
      <c r="BW753" s="131"/>
      <c r="BX753" s="131"/>
      <c r="BY753" s="131"/>
      <c r="BZ753" s="131"/>
      <c r="CA753" s="131"/>
      <c r="CB753" s="131"/>
      <c r="CC753" s="131"/>
      <c r="CD753" s="131"/>
      <c r="CE753" s="131"/>
      <c r="CF753" s="131"/>
      <c r="CG753" s="131"/>
      <c r="CH753" s="131"/>
      <c r="CI753" s="131"/>
      <c r="CJ753" s="131"/>
      <c r="CK753" s="131"/>
      <c r="CL753" s="131"/>
      <c r="CM753" s="131"/>
      <c r="CN753" s="131"/>
      <c r="CO753" s="131"/>
      <c r="CP753" s="131"/>
      <c r="CQ753" s="131"/>
    </row>
    <row r="754" spans="1:95" ht="15" hidden="1" x14ac:dyDescent="0.25">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c r="AC754" s="131"/>
      <c r="AD754" s="131"/>
      <c r="AE754" s="131"/>
      <c r="AF754" s="131"/>
      <c r="AG754" s="131"/>
      <c r="AH754" s="131"/>
      <c r="AI754" s="131"/>
      <c r="AJ754" s="131"/>
      <c r="AK754" s="131"/>
      <c r="AL754" s="131"/>
      <c r="AM754" s="131"/>
      <c r="AN754" s="131"/>
      <c r="AO754" s="131"/>
      <c r="AP754" s="131"/>
      <c r="AQ754" s="131"/>
      <c r="AR754" s="131"/>
      <c r="AS754" s="131"/>
      <c r="AT754" s="131"/>
      <c r="AU754" s="131"/>
      <c r="AV754" s="131"/>
      <c r="AW754" s="131"/>
      <c r="AX754" s="131"/>
      <c r="AY754" s="131"/>
      <c r="AZ754" s="131"/>
      <c r="BA754" s="131"/>
      <c r="BB754" s="131"/>
      <c r="BC754" s="131"/>
      <c r="BD754" s="131"/>
      <c r="BE754" s="131"/>
      <c r="BF754" s="131"/>
      <c r="BG754" s="131"/>
      <c r="BH754" s="131"/>
      <c r="BI754" s="131"/>
      <c r="BJ754" s="131"/>
      <c r="BK754" s="131"/>
      <c r="BL754" s="131"/>
      <c r="BM754" s="131"/>
      <c r="BN754" s="131"/>
      <c r="BO754" s="131"/>
      <c r="BP754" s="131"/>
      <c r="BQ754" s="131"/>
      <c r="BR754" s="131"/>
      <c r="BS754" s="131"/>
      <c r="BT754" s="131"/>
      <c r="BU754" s="131"/>
      <c r="BV754" s="131"/>
      <c r="BW754" s="131"/>
      <c r="BX754" s="131"/>
      <c r="BY754" s="131"/>
      <c r="BZ754" s="131"/>
      <c r="CA754" s="131"/>
      <c r="CB754" s="131"/>
      <c r="CC754" s="131"/>
      <c r="CD754" s="131"/>
      <c r="CE754" s="131"/>
      <c r="CF754" s="131"/>
      <c r="CG754" s="131"/>
      <c r="CH754" s="131"/>
      <c r="CI754" s="131"/>
      <c r="CJ754" s="131"/>
      <c r="CK754" s="131"/>
      <c r="CL754" s="131"/>
      <c r="CM754" s="131"/>
      <c r="CN754" s="131"/>
      <c r="CO754" s="131"/>
      <c r="CP754" s="131"/>
      <c r="CQ754" s="131"/>
    </row>
    <row r="755" spans="1:95" ht="15" hidden="1" x14ac:dyDescent="0.25">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c r="AC755" s="131"/>
      <c r="AD755" s="131"/>
      <c r="AE755" s="131"/>
      <c r="AF755" s="131"/>
      <c r="AG755" s="131"/>
      <c r="AH755" s="131"/>
      <c r="AI755" s="131"/>
      <c r="AJ755" s="131"/>
      <c r="AK755" s="131"/>
      <c r="AL755" s="131"/>
      <c r="AM755" s="131"/>
      <c r="AN755" s="131"/>
      <c r="AO755" s="131"/>
      <c r="AP755" s="131"/>
      <c r="AQ755" s="131"/>
      <c r="AR755" s="131"/>
      <c r="AS755" s="131"/>
      <c r="AT755" s="131"/>
      <c r="AU755" s="131"/>
      <c r="AV755" s="131"/>
      <c r="AW755" s="131"/>
      <c r="AX755" s="131"/>
      <c r="AY755" s="131"/>
      <c r="AZ755" s="131"/>
      <c r="BA755" s="131"/>
      <c r="BB755" s="131"/>
      <c r="BC755" s="131"/>
      <c r="BD755" s="131"/>
      <c r="BE755" s="131"/>
      <c r="BF755" s="131"/>
      <c r="BG755" s="131"/>
      <c r="BH755" s="131"/>
      <c r="BI755" s="131"/>
      <c r="BJ755" s="131"/>
      <c r="BK755" s="131"/>
      <c r="BL755" s="131"/>
      <c r="BM755" s="131"/>
      <c r="BN755" s="131"/>
      <c r="BO755" s="131"/>
      <c r="BP755" s="131"/>
      <c r="BQ755" s="131"/>
      <c r="BR755" s="131"/>
      <c r="BS755" s="131"/>
      <c r="BT755" s="131"/>
      <c r="BU755" s="131"/>
      <c r="BV755" s="131"/>
      <c r="BW755" s="131"/>
      <c r="BX755" s="131"/>
      <c r="BY755" s="131"/>
      <c r="BZ755" s="131"/>
      <c r="CA755" s="131"/>
      <c r="CB755" s="131"/>
      <c r="CC755" s="131"/>
      <c r="CD755" s="131"/>
      <c r="CE755" s="131"/>
      <c r="CF755" s="131"/>
      <c r="CG755" s="131"/>
      <c r="CH755" s="131"/>
      <c r="CI755" s="131"/>
      <c r="CJ755" s="131"/>
      <c r="CK755" s="131"/>
      <c r="CL755" s="131"/>
      <c r="CM755" s="131"/>
      <c r="CN755" s="131"/>
      <c r="CO755" s="131"/>
      <c r="CP755" s="131"/>
      <c r="CQ755" s="131"/>
    </row>
    <row r="756" spans="1:95" ht="15" hidden="1" x14ac:dyDescent="0.25">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1"/>
      <c r="AH756" s="131"/>
      <c r="AI756" s="131"/>
      <c r="AJ756" s="131"/>
      <c r="AK756" s="131"/>
      <c r="AL756" s="131"/>
      <c r="AM756" s="131"/>
      <c r="AN756" s="131"/>
      <c r="AO756" s="131"/>
      <c r="AP756" s="131"/>
      <c r="AQ756" s="131"/>
      <c r="AR756" s="131"/>
      <c r="AS756" s="131"/>
      <c r="AT756" s="131"/>
      <c r="AU756" s="131"/>
      <c r="AV756" s="131"/>
      <c r="AW756" s="131"/>
      <c r="AX756" s="131"/>
      <c r="AY756" s="131"/>
      <c r="AZ756" s="131"/>
      <c r="BA756" s="131"/>
      <c r="BB756" s="131"/>
      <c r="BC756" s="131"/>
      <c r="BD756" s="131"/>
      <c r="BE756" s="131"/>
      <c r="BF756" s="131"/>
      <c r="BG756" s="131"/>
      <c r="BH756" s="131"/>
      <c r="BI756" s="131"/>
      <c r="BJ756" s="131"/>
      <c r="BK756" s="131"/>
      <c r="BL756" s="131"/>
      <c r="BM756" s="131"/>
      <c r="BN756" s="131"/>
      <c r="BO756" s="131"/>
      <c r="BP756" s="131"/>
      <c r="BQ756" s="131"/>
      <c r="BR756" s="131"/>
      <c r="BS756" s="131"/>
      <c r="BT756" s="131"/>
      <c r="BU756" s="131"/>
      <c r="BV756" s="131"/>
      <c r="BW756" s="131"/>
      <c r="BX756" s="131"/>
      <c r="BY756" s="131"/>
      <c r="BZ756" s="131"/>
      <c r="CA756" s="131"/>
      <c r="CB756" s="131"/>
      <c r="CC756" s="131"/>
      <c r="CD756" s="131"/>
      <c r="CE756" s="131"/>
      <c r="CF756" s="131"/>
      <c r="CG756" s="131"/>
      <c r="CH756" s="131"/>
      <c r="CI756" s="131"/>
      <c r="CJ756" s="131"/>
      <c r="CK756" s="131"/>
      <c r="CL756" s="131"/>
      <c r="CM756" s="131"/>
      <c r="CN756" s="131"/>
      <c r="CO756" s="131"/>
      <c r="CP756" s="131"/>
      <c r="CQ756" s="131"/>
    </row>
    <row r="757" spans="1:95" ht="15" hidden="1" x14ac:dyDescent="0.25">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1"/>
      <c r="AH757" s="131"/>
      <c r="AI757" s="131"/>
      <c r="AJ757" s="131"/>
      <c r="AK757" s="131"/>
      <c r="AL757" s="131"/>
      <c r="AM757" s="131"/>
      <c r="AN757" s="131"/>
      <c r="AO757" s="131"/>
      <c r="AP757" s="131"/>
      <c r="AQ757" s="131"/>
      <c r="AR757" s="131"/>
      <c r="AS757" s="131"/>
      <c r="AT757" s="131"/>
      <c r="AU757" s="131"/>
      <c r="AV757" s="131"/>
      <c r="AW757" s="131"/>
      <c r="AX757" s="131"/>
      <c r="AY757" s="131"/>
      <c r="AZ757" s="131"/>
      <c r="BA757" s="131"/>
      <c r="BB757" s="131"/>
      <c r="BC757" s="131"/>
      <c r="BD757" s="131"/>
      <c r="BE757" s="131"/>
      <c r="BF757" s="131"/>
      <c r="BG757" s="131"/>
      <c r="BH757" s="131"/>
      <c r="BI757" s="131"/>
      <c r="BJ757" s="131"/>
      <c r="BK757" s="131"/>
      <c r="BL757" s="131"/>
      <c r="BM757" s="131"/>
      <c r="BN757" s="131"/>
      <c r="BO757" s="131"/>
      <c r="BP757" s="131"/>
      <c r="BQ757" s="131"/>
      <c r="BR757" s="131"/>
      <c r="BS757" s="131"/>
      <c r="BT757" s="131"/>
      <c r="BU757" s="131"/>
      <c r="BV757" s="131"/>
      <c r="BW757" s="131"/>
      <c r="BX757" s="131"/>
      <c r="BY757" s="131"/>
      <c r="BZ757" s="131"/>
      <c r="CA757" s="131"/>
      <c r="CB757" s="131"/>
      <c r="CC757" s="131"/>
      <c r="CD757" s="131"/>
      <c r="CE757" s="131"/>
      <c r="CF757" s="131"/>
      <c r="CG757" s="131"/>
      <c r="CH757" s="131"/>
      <c r="CI757" s="131"/>
      <c r="CJ757" s="131"/>
      <c r="CK757" s="131"/>
      <c r="CL757" s="131"/>
      <c r="CM757" s="131"/>
      <c r="CN757" s="131"/>
      <c r="CO757" s="131"/>
      <c r="CP757" s="131"/>
      <c r="CQ757" s="131"/>
    </row>
    <row r="758" spans="1:95" ht="15" hidden="1" x14ac:dyDescent="0.25">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c r="AH758" s="131"/>
      <c r="AI758" s="131"/>
      <c r="AJ758" s="131"/>
      <c r="AK758" s="131"/>
      <c r="AL758" s="131"/>
      <c r="AM758" s="131"/>
      <c r="AN758" s="131"/>
      <c r="AO758" s="131"/>
      <c r="AP758" s="131"/>
      <c r="AQ758" s="131"/>
      <c r="AR758" s="131"/>
      <c r="AS758" s="131"/>
      <c r="AT758" s="131"/>
      <c r="AU758" s="131"/>
      <c r="AV758" s="131"/>
      <c r="AW758" s="131"/>
      <c r="AX758" s="131"/>
      <c r="AY758" s="131"/>
      <c r="AZ758" s="131"/>
      <c r="BA758" s="131"/>
      <c r="BB758" s="131"/>
      <c r="BC758" s="131"/>
      <c r="BD758" s="131"/>
      <c r="BE758" s="131"/>
      <c r="BF758" s="131"/>
      <c r="BG758" s="131"/>
      <c r="BH758" s="131"/>
      <c r="BI758" s="131"/>
      <c r="BJ758" s="131"/>
      <c r="BK758" s="131"/>
      <c r="BL758" s="131"/>
      <c r="BM758" s="131"/>
      <c r="BN758" s="131"/>
      <c r="BO758" s="131"/>
      <c r="BP758" s="131"/>
      <c r="BQ758" s="131"/>
      <c r="BR758" s="131"/>
      <c r="BS758" s="131"/>
      <c r="BT758" s="131"/>
      <c r="BU758" s="131"/>
      <c r="BV758" s="131"/>
      <c r="BW758" s="131"/>
      <c r="BX758" s="131"/>
      <c r="BY758" s="131"/>
      <c r="BZ758" s="131"/>
      <c r="CA758" s="131"/>
      <c r="CB758" s="131"/>
      <c r="CC758" s="131"/>
      <c r="CD758" s="131"/>
      <c r="CE758" s="131"/>
      <c r="CF758" s="131"/>
      <c r="CG758" s="131"/>
      <c r="CH758" s="131"/>
      <c r="CI758" s="131"/>
      <c r="CJ758" s="131"/>
      <c r="CK758" s="131"/>
      <c r="CL758" s="131"/>
      <c r="CM758" s="131"/>
      <c r="CN758" s="131"/>
      <c r="CO758" s="131"/>
      <c r="CP758" s="131"/>
      <c r="CQ758" s="131"/>
    </row>
    <row r="759" spans="1:95" ht="15" hidden="1" x14ac:dyDescent="0.25">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c r="AC759" s="131"/>
      <c r="AD759" s="131"/>
      <c r="AE759" s="131"/>
      <c r="AF759" s="131"/>
      <c r="AG759" s="131"/>
      <c r="AH759" s="131"/>
      <c r="AI759" s="131"/>
      <c r="AJ759" s="131"/>
      <c r="AK759" s="131"/>
      <c r="AL759" s="131"/>
      <c r="AM759" s="131"/>
      <c r="AN759" s="131"/>
      <c r="AO759" s="131"/>
      <c r="AP759" s="131"/>
      <c r="AQ759" s="131"/>
      <c r="AR759" s="131"/>
      <c r="AS759" s="131"/>
      <c r="AT759" s="131"/>
      <c r="AU759" s="131"/>
      <c r="AV759" s="131"/>
      <c r="AW759" s="131"/>
      <c r="AX759" s="131"/>
      <c r="AY759" s="131"/>
      <c r="AZ759" s="131"/>
      <c r="BA759" s="131"/>
      <c r="BB759" s="131"/>
      <c r="BC759" s="131"/>
      <c r="BD759" s="131"/>
      <c r="BE759" s="131"/>
      <c r="BF759" s="131"/>
      <c r="BG759" s="131"/>
      <c r="BH759" s="131"/>
      <c r="BI759" s="131"/>
      <c r="BJ759" s="131"/>
      <c r="BK759" s="131"/>
      <c r="BL759" s="131"/>
      <c r="BM759" s="131"/>
      <c r="BN759" s="131"/>
      <c r="BO759" s="131"/>
      <c r="BP759" s="131"/>
      <c r="BQ759" s="131"/>
      <c r="BR759" s="131"/>
      <c r="BS759" s="131"/>
      <c r="BT759" s="131"/>
      <c r="BU759" s="131"/>
      <c r="BV759" s="131"/>
      <c r="BW759" s="131"/>
      <c r="BX759" s="131"/>
      <c r="BY759" s="131"/>
      <c r="BZ759" s="131"/>
      <c r="CA759" s="131"/>
      <c r="CB759" s="131"/>
      <c r="CC759" s="131"/>
      <c r="CD759" s="131"/>
      <c r="CE759" s="131"/>
      <c r="CF759" s="131"/>
      <c r="CG759" s="131"/>
      <c r="CH759" s="131"/>
      <c r="CI759" s="131"/>
      <c r="CJ759" s="131"/>
      <c r="CK759" s="131"/>
      <c r="CL759" s="131"/>
      <c r="CM759" s="131"/>
      <c r="CN759" s="131"/>
      <c r="CO759" s="131"/>
      <c r="CP759" s="131"/>
      <c r="CQ759" s="131"/>
    </row>
    <row r="760" spans="1:95" ht="15" hidden="1" x14ac:dyDescent="0.25">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c r="AA760" s="131"/>
      <c r="AB760" s="131"/>
      <c r="AC760" s="131"/>
      <c r="AD760" s="131"/>
      <c r="AE760" s="131"/>
      <c r="AF760" s="131"/>
      <c r="AG760" s="131"/>
      <c r="AH760" s="131"/>
      <c r="AI760" s="131"/>
      <c r="AJ760" s="131"/>
      <c r="AK760" s="131"/>
      <c r="AL760" s="131"/>
      <c r="AM760" s="131"/>
      <c r="AN760" s="131"/>
      <c r="AO760" s="131"/>
      <c r="AP760" s="131"/>
      <c r="AQ760" s="131"/>
      <c r="AR760" s="131"/>
      <c r="AS760" s="131"/>
      <c r="AT760" s="131"/>
      <c r="AU760" s="131"/>
      <c r="AV760" s="131"/>
      <c r="AW760" s="131"/>
      <c r="AX760" s="131"/>
      <c r="AY760" s="131"/>
      <c r="AZ760" s="131"/>
      <c r="BA760" s="131"/>
      <c r="BB760" s="131"/>
      <c r="BC760" s="131"/>
      <c r="BD760" s="131"/>
      <c r="BE760" s="131"/>
      <c r="BF760" s="131"/>
      <c r="BG760" s="131"/>
      <c r="BH760" s="131"/>
      <c r="BI760" s="131"/>
      <c r="BJ760" s="131"/>
      <c r="BK760" s="131"/>
      <c r="BL760" s="131"/>
      <c r="BM760" s="131"/>
      <c r="BN760" s="131"/>
      <c r="BO760" s="131"/>
      <c r="BP760" s="131"/>
      <c r="BQ760" s="131"/>
      <c r="BR760" s="131"/>
      <c r="BS760" s="131"/>
      <c r="BT760" s="131"/>
      <c r="BU760" s="131"/>
      <c r="BV760" s="131"/>
      <c r="BW760" s="131"/>
      <c r="BX760" s="131"/>
      <c r="BY760" s="131"/>
      <c r="BZ760" s="131"/>
      <c r="CA760" s="131"/>
      <c r="CB760" s="131"/>
      <c r="CC760" s="131"/>
      <c r="CD760" s="131"/>
      <c r="CE760" s="131"/>
      <c r="CF760" s="131"/>
      <c r="CG760" s="131"/>
      <c r="CH760" s="131"/>
      <c r="CI760" s="131"/>
      <c r="CJ760" s="131"/>
      <c r="CK760" s="131"/>
      <c r="CL760" s="131"/>
      <c r="CM760" s="131"/>
      <c r="CN760" s="131"/>
      <c r="CO760" s="131"/>
      <c r="CP760" s="131"/>
      <c r="CQ760" s="131"/>
    </row>
    <row r="761" spans="1:95" ht="15" hidden="1" x14ac:dyDescent="0.25">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c r="AA761" s="131"/>
      <c r="AB761" s="131"/>
      <c r="AC761" s="131"/>
      <c r="AD761" s="131"/>
      <c r="AE761" s="131"/>
      <c r="AF761" s="131"/>
      <c r="AG761" s="131"/>
      <c r="AH761" s="131"/>
      <c r="AI761" s="131"/>
      <c r="AJ761" s="131"/>
      <c r="AK761" s="131"/>
      <c r="AL761" s="131"/>
      <c r="AM761" s="131"/>
      <c r="AN761" s="131"/>
      <c r="AO761" s="131"/>
      <c r="AP761" s="131"/>
      <c r="AQ761" s="131"/>
      <c r="AR761" s="131"/>
      <c r="AS761" s="131"/>
      <c r="AT761" s="131"/>
      <c r="AU761" s="131"/>
      <c r="AV761" s="131"/>
      <c r="AW761" s="131"/>
      <c r="AX761" s="131"/>
      <c r="AY761" s="131"/>
      <c r="AZ761" s="131"/>
      <c r="BA761" s="131"/>
      <c r="BB761" s="131"/>
      <c r="BC761" s="131"/>
      <c r="BD761" s="131"/>
      <c r="BE761" s="131"/>
      <c r="BF761" s="131"/>
      <c r="BG761" s="131"/>
      <c r="BH761" s="131"/>
      <c r="BI761" s="131"/>
      <c r="BJ761" s="131"/>
      <c r="BK761" s="131"/>
      <c r="BL761" s="131"/>
      <c r="BM761" s="131"/>
      <c r="BN761" s="131"/>
      <c r="BO761" s="131"/>
      <c r="BP761" s="131"/>
      <c r="BQ761" s="131"/>
      <c r="BR761" s="131"/>
      <c r="BS761" s="131"/>
      <c r="BT761" s="131"/>
      <c r="BU761" s="131"/>
      <c r="BV761" s="131"/>
      <c r="BW761" s="131"/>
      <c r="BX761" s="131"/>
      <c r="BY761" s="131"/>
      <c r="BZ761" s="131"/>
      <c r="CA761" s="131"/>
      <c r="CB761" s="131"/>
      <c r="CC761" s="131"/>
      <c r="CD761" s="131"/>
      <c r="CE761" s="131"/>
      <c r="CF761" s="131"/>
      <c r="CG761" s="131"/>
      <c r="CH761" s="131"/>
      <c r="CI761" s="131"/>
      <c r="CJ761" s="131"/>
      <c r="CK761" s="131"/>
      <c r="CL761" s="131"/>
      <c r="CM761" s="131"/>
      <c r="CN761" s="131"/>
      <c r="CO761" s="131"/>
      <c r="CP761" s="131"/>
      <c r="CQ761" s="131"/>
    </row>
    <row r="762" spans="1:95" ht="15" hidden="1" x14ac:dyDescent="0.25">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c r="AA762" s="131"/>
      <c r="AB762" s="131"/>
      <c r="AC762" s="131"/>
      <c r="AD762" s="131"/>
      <c r="AE762" s="131"/>
      <c r="AF762" s="131"/>
      <c r="AG762" s="131"/>
      <c r="AH762" s="131"/>
      <c r="AI762" s="131"/>
      <c r="AJ762" s="131"/>
      <c r="AK762" s="131"/>
      <c r="AL762" s="131"/>
      <c r="AM762" s="131"/>
      <c r="AN762" s="131"/>
      <c r="AO762" s="131"/>
      <c r="AP762" s="131"/>
      <c r="AQ762" s="131"/>
      <c r="AR762" s="131"/>
      <c r="AS762" s="131"/>
      <c r="AT762" s="131"/>
      <c r="AU762" s="131"/>
      <c r="AV762" s="131"/>
      <c r="AW762" s="131"/>
      <c r="AX762" s="131"/>
      <c r="AY762" s="131"/>
      <c r="AZ762" s="131"/>
      <c r="BA762" s="131"/>
      <c r="BB762" s="131"/>
      <c r="BC762" s="131"/>
      <c r="BD762" s="131"/>
      <c r="BE762" s="131"/>
      <c r="BF762" s="131"/>
      <c r="BG762" s="131"/>
      <c r="BH762" s="131"/>
      <c r="BI762" s="131"/>
      <c r="BJ762" s="131"/>
      <c r="BK762" s="131"/>
      <c r="BL762" s="131"/>
      <c r="BM762" s="131"/>
      <c r="BN762" s="131"/>
      <c r="BO762" s="131"/>
      <c r="BP762" s="131"/>
      <c r="BQ762" s="131"/>
      <c r="BR762" s="131"/>
      <c r="BS762" s="131"/>
      <c r="BT762" s="131"/>
      <c r="BU762" s="131"/>
      <c r="BV762" s="131"/>
      <c r="BW762" s="131"/>
      <c r="BX762" s="131"/>
      <c r="BY762" s="131"/>
      <c r="BZ762" s="131"/>
      <c r="CA762" s="131"/>
      <c r="CB762" s="131"/>
      <c r="CC762" s="131"/>
      <c r="CD762" s="131"/>
      <c r="CE762" s="131"/>
      <c r="CF762" s="131"/>
      <c r="CG762" s="131"/>
      <c r="CH762" s="131"/>
      <c r="CI762" s="131"/>
      <c r="CJ762" s="131"/>
      <c r="CK762" s="131"/>
      <c r="CL762" s="131"/>
      <c r="CM762" s="131"/>
      <c r="CN762" s="131"/>
      <c r="CO762" s="131"/>
      <c r="CP762" s="131"/>
      <c r="CQ762" s="131"/>
    </row>
    <row r="763" spans="1:95" ht="15" hidden="1" x14ac:dyDescent="0.25">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c r="AC763" s="131"/>
      <c r="AD763" s="131"/>
      <c r="AE763" s="131"/>
      <c r="AF763" s="131"/>
      <c r="AG763" s="131"/>
      <c r="AH763" s="131"/>
      <c r="AI763" s="131"/>
      <c r="AJ763" s="131"/>
      <c r="AK763" s="131"/>
      <c r="AL763" s="131"/>
      <c r="AM763" s="131"/>
      <c r="AN763" s="131"/>
      <c r="AO763" s="131"/>
      <c r="AP763" s="131"/>
      <c r="AQ763" s="131"/>
      <c r="AR763" s="131"/>
      <c r="AS763" s="131"/>
      <c r="AT763" s="131"/>
      <c r="AU763" s="131"/>
      <c r="AV763" s="131"/>
      <c r="AW763" s="131"/>
      <c r="AX763" s="131"/>
      <c r="AY763" s="131"/>
      <c r="AZ763" s="131"/>
      <c r="BA763" s="131"/>
      <c r="BB763" s="131"/>
      <c r="BC763" s="131"/>
      <c r="BD763" s="131"/>
      <c r="BE763" s="131"/>
      <c r="BF763" s="131"/>
      <c r="BG763" s="131"/>
      <c r="BH763" s="131"/>
      <c r="BI763" s="131"/>
      <c r="BJ763" s="131"/>
      <c r="BK763" s="131"/>
      <c r="BL763" s="131"/>
      <c r="BM763" s="131"/>
      <c r="BN763" s="131"/>
      <c r="BO763" s="131"/>
      <c r="BP763" s="131"/>
      <c r="BQ763" s="131"/>
      <c r="BR763" s="131"/>
      <c r="BS763" s="131"/>
      <c r="BT763" s="131"/>
      <c r="BU763" s="131"/>
      <c r="BV763" s="131"/>
      <c r="BW763" s="131"/>
      <c r="BX763" s="131"/>
      <c r="BY763" s="131"/>
      <c r="BZ763" s="131"/>
      <c r="CA763" s="131"/>
      <c r="CB763" s="131"/>
      <c r="CC763" s="131"/>
      <c r="CD763" s="131"/>
      <c r="CE763" s="131"/>
      <c r="CF763" s="131"/>
      <c r="CG763" s="131"/>
      <c r="CH763" s="131"/>
      <c r="CI763" s="131"/>
      <c r="CJ763" s="131"/>
      <c r="CK763" s="131"/>
      <c r="CL763" s="131"/>
      <c r="CM763" s="131"/>
      <c r="CN763" s="131"/>
      <c r="CO763" s="131"/>
      <c r="CP763" s="131"/>
      <c r="CQ763" s="131"/>
    </row>
    <row r="764" spans="1:95" ht="15" hidden="1" x14ac:dyDescent="0.25">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c r="AC764" s="131"/>
      <c r="AD764" s="131"/>
      <c r="AE764" s="131"/>
      <c r="AF764" s="131"/>
      <c r="AG764" s="131"/>
      <c r="AH764" s="131"/>
      <c r="AI764" s="131"/>
      <c r="AJ764" s="131"/>
      <c r="AK764" s="131"/>
      <c r="AL764" s="131"/>
      <c r="AM764" s="131"/>
      <c r="AN764" s="131"/>
      <c r="AO764" s="131"/>
      <c r="AP764" s="131"/>
      <c r="AQ764" s="131"/>
      <c r="AR764" s="131"/>
      <c r="AS764" s="131"/>
      <c r="AT764" s="131"/>
      <c r="AU764" s="131"/>
      <c r="AV764" s="131"/>
      <c r="AW764" s="131"/>
      <c r="AX764" s="131"/>
      <c r="AY764" s="131"/>
      <c r="AZ764" s="131"/>
      <c r="BA764" s="131"/>
      <c r="BB764" s="131"/>
      <c r="BC764" s="131"/>
      <c r="BD764" s="131"/>
      <c r="BE764" s="131"/>
      <c r="BF764" s="131"/>
      <c r="BG764" s="131"/>
      <c r="BH764" s="131"/>
      <c r="BI764" s="131"/>
      <c r="BJ764" s="131"/>
      <c r="BK764" s="131"/>
      <c r="BL764" s="131"/>
      <c r="BM764" s="131"/>
      <c r="BN764" s="131"/>
      <c r="BO764" s="131"/>
      <c r="BP764" s="131"/>
      <c r="BQ764" s="131"/>
      <c r="BR764" s="131"/>
      <c r="BS764" s="131"/>
      <c r="BT764" s="131"/>
      <c r="BU764" s="131"/>
      <c r="BV764" s="131"/>
      <c r="BW764" s="131"/>
      <c r="BX764" s="131"/>
      <c r="BY764" s="131"/>
      <c r="BZ764" s="131"/>
      <c r="CA764" s="131"/>
      <c r="CB764" s="131"/>
      <c r="CC764" s="131"/>
      <c r="CD764" s="131"/>
      <c r="CE764" s="131"/>
      <c r="CF764" s="131"/>
      <c r="CG764" s="131"/>
      <c r="CH764" s="131"/>
      <c r="CI764" s="131"/>
      <c r="CJ764" s="131"/>
      <c r="CK764" s="131"/>
      <c r="CL764" s="131"/>
      <c r="CM764" s="131"/>
      <c r="CN764" s="131"/>
      <c r="CO764" s="131"/>
      <c r="CP764" s="131"/>
      <c r="CQ764" s="131"/>
    </row>
    <row r="765" spans="1:95" ht="15" hidden="1" x14ac:dyDescent="0.25">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1"/>
      <c r="AH765" s="131"/>
      <c r="AI765" s="131"/>
      <c r="AJ765" s="131"/>
      <c r="AK765" s="131"/>
      <c r="AL765" s="131"/>
      <c r="AM765" s="131"/>
      <c r="AN765" s="131"/>
      <c r="AO765" s="131"/>
      <c r="AP765" s="131"/>
      <c r="AQ765" s="131"/>
      <c r="AR765" s="131"/>
      <c r="AS765" s="131"/>
      <c r="AT765" s="131"/>
      <c r="AU765" s="131"/>
      <c r="AV765" s="131"/>
      <c r="AW765" s="131"/>
      <c r="AX765" s="131"/>
      <c r="AY765" s="131"/>
      <c r="AZ765" s="131"/>
      <c r="BA765" s="131"/>
      <c r="BB765" s="131"/>
      <c r="BC765" s="131"/>
      <c r="BD765" s="131"/>
      <c r="BE765" s="131"/>
      <c r="BF765" s="131"/>
      <c r="BG765" s="131"/>
      <c r="BH765" s="131"/>
      <c r="BI765" s="131"/>
      <c r="BJ765" s="131"/>
      <c r="BK765" s="131"/>
      <c r="BL765" s="131"/>
      <c r="BM765" s="131"/>
      <c r="BN765" s="131"/>
      <c r="BO765" s="131"/>
      <c r="BP765" s="131"/>
      <c r="BQ765" s="131"/>
      <c r="BR765" s="131"/>
      <c r="BS765" s="131"/>
      <c r="BT765" s="131"/>
      <c r="BU765" s="131"/>
      <c r="BV765" s="131"/>
      <c r="BW765" s="131"/>
      <c r="BX765" s="131"/>
      <c r="BY765" s="131"/>
      <c r="BZ765" s="131"/>
      <c r="CA765" s="131"/>
      <c r="CB765" s="131"/>
      <c r="CC765" s="131"/>
      <c r="CD765" s="131"/>
      <c r="CE765" s="131"/>
      <c r="CF765" s="131"/>
      <c r="CG765" s="131"/>
      <c r="CH765" s="131"/>
      <c r="CI765" s="131"/>
      <c r="CJ765" s="131"/>
      <c r="CK765" s="131"/>
      <c r="CL765" s="131"/>
      <c r="CM765" s="131"/>
      <c r="CN765" s="131"/>
      <c r="CO765" s="131"/>
      <c r="CP765" s="131"/>
      <c r="CQ765" s="131"/>
    </row>
    <row r="766" spans="1:95" ht="15" hidden="1" x14ac:dyDescent="0.25">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1"/>
      <c r="AH766" s="131"/>
      <c r="AI766" s="131"/>
      <c r="AJ766" s="131"/>
      <c r="AK766" s="131"/>
      <c r="AL766" s="131"/>
      <c r="AM766" s="131"/>
      <c r="AN766" s="131"/>
      <c r="AO766" s="131"/>
      <c r="AP766" s="131"/>
      <c r="AQ766" s="131"/>
      <c r="AR766" s="131"/>
      <c r="AS766" s="131"/>
      <c r="AT766" s="131"/>
      <c r="AU766" s="131"/>
      <c r="AV766" s="131"/>
      <c r="AW766" s="131"/>
      <c r="AX766" s="131"/>
      <c r="AY766" s="131"/>
      <c r="AZ766" s="131"/>
      <c r="BA766" s="131"/>
      <c r="BB766" s="131"/>
      <c r="BC766" s="131"/>
      <c r="BD766" s="131"/>
      <c r="BE766" s="131"/>
      <c r="BF766" s="131"/>
      <c r="BG766" s="131"/>
      <c r="BH766" s="131"/>
      <c r="BI766" s="131"/>
      <c r="BJ766" s="131"/>
      <c r="BK766" s="131"/>
      <c r="BL766" s="131"/>
      <c r="BM766" s="131"/>
      <c r="BN766" s="131"/>
      <c r="BO766" s="131"/>
      <c r="BP766" s="131"/>
      <c r="BQ766" s="131"/>
      <c r="BR766" s="131"/>
      <c r="BS766" s="131"/>
      <c r="BT766" s="131"/>
      <c r="BU766" s="131"/>
      <c r="BV766" s="131"/>
      <c r="BW766" s="131"/>
      <c r="BX766" s="131"/>
      <c r="BY766" s="131"/>
      <c r="BZ766" s="131"/>
      <c r="CA766" s="131"/>
      <c r="CB766" s="131"/>
      <c r="CC766" s="131"/>
      <c r="CD766" s="131"/>
      <c r="CE766" s="131"/>
      <c r="CF766" s="131"/>
      <c r="CG766" s="131"/>
      <c r="CH766" s="131"/>
      <c r="CI766" s="131"/>
      <c r="CJ766" s="131"/>
      <c r="CK766" s="131"/>
      <c r="CL766" s="131"/>
      <c r="CM766" s="131"/>
      <c r="CN766" s="131"/>
      <c r="CO766" s="131"/>
      <c r="CP766" s="131"/>
      <c r="CQ766" s="131"/>
    </row>
    <row r="767" spans="1:95" ht="15" hidden="1" x14ac:dyDescent="0.25">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1"/>
      <c r="AH767" s="131"/>
      <c r="AI767" s="131"/>
      <c r="AJ767" s="131"/>
      <c r="AK767" s="131"/>
      <c r="AL767" s="131"/>
      <c r="AM767" s="131"/>
      <c r="AN767" s="131"/>
      <c r="AO767" s="131"/>
      <c r="AP767" s="131"/>
      <c r="AQ767" s="131"/>
      <c r="AR767" s="131"/>
      <c r="AS767" s="131"/>
      <c r="AT767" s="131"/>
      <c r="AU767" s="131"/>
      <c r="AV767" s="131"/>
      <c r="AW767" s="131"/>
      <c r="AX767" s="131"/>
      <c r="AY767" s="131"/>
      <c r="AZ767" s="131"/>
      <c r="BA767" s="131"/>
      <c r="BB767" s="131"/>
      <c r="BC767" s="131"/>
      <c r="BD767" s="131"/>
      <c r="BE767" s="131"/>
      <c r="BF767" s="131"/>
      <c r="BG767" s="131"/>
      <c r="BH767" s="131"/>
      <c r="BI767" s="131"/>
      <c r="BJ767" s="131"/>
      <c r="BK767" s="131"/>
      <c r="BL767" s="131"/>
      <c r="BM767" s="131"/>
      <c r="BN767" s="131"/>
      <c r="BO767" s="131"/>
      <c r="BP767" s="131"/>
      <c r="BQ767" s="131"/>
      <c r="BR767" s="131"/>
      <c r="BS767" s="131"/>
      <c r="BT767" s="131"/>
      <c r="BU767" s="131"/>
      <c r="BV767" s="131"/>
      <c r="BW767" s="131"/>
      <c r="BX767" s="131"/>
      <c r="BY767" s="131"/>
      <c r="BZ767" s="131"/>
      <c r="CA767" s="131"/>
      <c r="CB767" s="131"/>
      <c r="CC767" s="131"/>
      <c r="CD767" s="131"/>
      <c r="CE767" s="131"/>
      <c r="CF767" s="131"/>
      <c r="CG767" s="131"/>
      <c r="CH767" s="131"/>
      <c r="CI767" s="131"/>
      <c r="CJ767" s="131"/>
      <c r="CK767" s="131"/>
      <c r="CL767" s="131"/>
      <c r="CM767" s="131"/>
      <c r="CN767" s="131"/>
      <c r="CO767" s="131"/>
      <c r="CP767" s="131"/>
      <c r="CQ767" s="131"/>
    </row>
    <row r="768" spans="1:95" ht="15" hidden="1" x14ac:dyDescent="0.25">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c r="AH768" s="131"/>
      <c r="AI768" s="131"/>
      <c r="AJ768" s="131"/>
      <c r="AK768" s="131"/>
      <c r="AL768" s="131"/>
      <c r="AM768" s="131"/>
      <c r="AN768" s="131"/>
      <c r="AO768" s="131"/>
      <c r="AP768" s="131"/>
      <c r="AQ768" s="131"/>
      <c r="AR768" s="131"/>
      <c r="AS768" s="131"/>
      <c r="AT768" s="131"/>
      <c r="AU768" s="131"/>
      <c r="AV768" s="131"/>
      <c r="AW768" s="131"/>
      <c r="AX768" s="131"/>
      <c r="AY768" s="131"/>
      <c r="AZ768" s="131"/>
      <c r="BA768" s="131"/>
      <c r="BB768" s="131"/>
      <c r="BC768" s="131"/>
      <c r="BD768" s="131"/>
      <c r="BE768" s="131"/>
      <c r="BF768" s="131"/>
      <c r="BG768" s="131"/>
      <c r="BH768" s="131"/>
      <c r="BI768" s="131"/>
      <c r="BJ768" s="131"/>
      <c r="BK768" s="131"/>
      <c r="BL768" s="131"/>
      <c r="BM768" s="131"/>
      <c r="BN768" s="131"/>
      <c r="BO768" s="131"/>
      <c r="BP768" s="131"/>
      <c r="BQ768" s="131"/>
      <c r="BR768" s="131"/>
      <c r="BS768" s="131"/>
      <c r="BT768" s="131"/>
      <c r="BU768" s="131"/>
      <c r="BV768" s="131"/>
      <c r="BW768" s="131"/>
      <c r="BX768" s="131"/>
      <c r="BY768" s="131"/>
      <c r="BZ768" s="131"/>
      <c r="CA768" s="131"/>
      <c r="CB768" s="131"/>
      <c r="CC768" s="131"/>
      <c r="CD768" s="131"/>
      <c r="CE768" s="131"/>
      <c r="CF768" s="131"/>
      <c r="CG768" s="131"/>
      <c r="CH768" s="131"/>
      <c r="CI768" s="131"/>
      <c r="CJ768" s="131"/>
      <c r="CK768" s="131"/>
      <c r="CL768" s="131"/>
      <c r="CM768" s="131"/>
      <c r="CN768" s="131"/>
      <c r="CO768" s="131"/>
      <c r="CP768" s="131"/>
      <c r="CQ768" s="131"/>
    </row>
    <row r="769" spans="1:95" ht="15" hidden="1" x14ac:dyDescent="0.25">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c r="AH769" s="131"/>
      <c r="AI769" s="131"/>
      <c r="AJ769" s="131"/>
      <c r="AK769" s="131"/>
      <c r="AL769" s="131"/>
      <c r="AM769" s="131"/>
      <c r="AN769" s="131"/>
      <c r="AO769" s="131"/>
      <c r="AP769" s="131"/>
      <c r="AQ769" s="131"/>
      <c r="AR769" s="131"/>
      <c r="AS769" s="131"/>
      <c r="AT769" s="131"/>
      <c r="AU769" s="131"/>
      <c r="AV769" s="131"/>
      <c r="AW769" s="131"/>
      <c r="AX769" s="131"/>
      <c r="AY769" s="131"/>
      <c r="AZ769" s="131"/>
      <c r="BA769" s="131"/>
      <c r="BB769" s="131"/>
      <c r="BC769" s="131"/>
      <c r="BD769" s="131"/>
      <c r="BE769" s="131"/>
      <c r="BF769" s="131"/>
      <c r="BG769" s="131"/>
      <c r="BH769" s="131"/>
      <c r="BI769" s="131"/>
      <c r="BJ769" s="131"/>
      <c r="BK769" s="131"/>
      <c r="BL769" s="131"/>
      <c r="BM769" s="131"/>
      <c r="BN769" s="131"/>
      <c r="BO769" s="131"/>
      <c r="BP769" s="131"/>
      <c r="BQ769" s="131"/>
      <c r="BR769" s="131"/>
      <c r="BS769" s="131"/>
      <c r="BT769" s="131"/>
      <c r="BU769" s="131"/>
      <c r="BV769" s="131"/>
      <c r="BW769" s="131"/>
      <c r="BX769" s="131"/>
      <c r="BY769" s="131"/>
      <c r="BZ769" s="131"/>
      <c r="CA769" s="131"/>
      <c r="CB769" s="131"/>
      <c r="CC769" s="131"/>
      <c r="CD769" s="131"/>
      <c r="CE769" s="131"/>
      <c r="CF769" s="131"/>
      <c r="CG769" s="131"/>
      <c r="CH769" s="131"/>
      <c r="CI769" s="131"/>
      <c r="CJ769" s="131"/>
      <c r="CK769" s="131"/>
      <c r="CL769" s="131"/>
      <c r="CM769" s="131"/>
      <c r="CN769" s="131"/>
      <c r="CO769" s="131"/>
      <c r="CP769" s="131"/>
      <c r="CQ769" s="131"/>
    </row>
    <row r="770" spans="1:95" ht="15" hidden="1" x14ac:dyDescent="0.25">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c r="AC770" s="131"/>
      <c r="AD770" s="131"/>
      <c r="AE770" s="131"/>
      <c r="AF770" s="131"/>
      <c r="AG770" s="131"/>
      <c r="AH770" s="131"/>
      <c r="AI770" s="131"/>
      <c r="AJ770" s="131"/>
      <c r="AK770" s="131"/>
      <c r="AL770" s="131"/>
      <c r="AM770" s="131"/>
      <c r="AN770" s="131"/>
      <c r="AO770" s="131"/>
      <c r="AP770" s="131"/>
      <c r="AQ770" s="131"/>
      <c r="AR770" s="131"/>
      <c r="AS770" s="131"/>
      <c r="AT770" s="131"/>
      <c r="AU770" s="131"/>
      <c r="AV770" s="131"/>
      <c r="AW770" s="131"/>
      <c r="AX770" s="131"/>
      <c r="AY770" s="131"/>
      <c r="AZ770" s="131"/>
      <c r="BA770" s="131"/>
      <c r="BB770" s="131"/>
      <c r="BC770" s="131"/>
      <c r="BD770" s="131"/>
      <c r="BE770" s="131"/>
      <c r="BF770" s="131"/>
      <c r="BG770" s="131"/>
      <c r="BH770" s="131"/>
      <c r="BI770" s="131"/>
      <c r="BJ770" s="131"/>
      <c r="BK770" s="131"/>
      <c r="BL770" s="131"/>
      <c r="BM770" s="131"/>
      <c r="BN770" s="131"/>
      <c r="BO770" s="131"/>
      <c r="BP770" s="131"/>
      <c r="BQ770" s="131"/>
      <c r="BR770" s="131"/>
      <c r="BS770" s="131"/>
      <c r="BT770" s="131"/>
      <c r="BU770" s="131"/>
      <c r="BV770" s="131"/>
      <c r="BW770" s="131"/>
      <c r="BX770" s="131"/>
      <c r="BY770" s="131"/>
      <c r="BZ770" s="131"/>
      <c r="CA770" s="131"/>
      <c r="CB770" s="131"/>
      <c r="CC770" s="131"/>
      <c r="CD770" s="131"/>
      <c r="CE770" s="131"/>
      <c r="CF770" s="131"/>
      <c r="CG770" s="131"/>
      <c r="CH770" s="131"/>
      <c r="CI770" s="131"/>
      <c r="CJ770" s="131"/>
      <c r="CK770" s="131"/>
      <c r="CL770" s="131"/>
      <c r="CM770" s="131"/>
      <c r="CN770" s="131"/>
      <c r="CO770" s="131"/>
      <c r="CP770" s="131"/>
      <c r="CQ770" s="131"/>
    </row>
    <row r="771" spans="1:95" ht="15" hidden="1" x14ac:dyDescent="0.25">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c r="AC771" s="131"/>
      <c r="AD771" s="131"/>
      <c r="AE771" s="131"/>
      <c r="AF771" s="131"/>
      <c r="AG771" s="131"/>
      <c r="AH771" s="131"/>
      <c r="AI771" s="131"/>
      <c r="AJ771" s="131"/>
      <c r="AK771" s="131"/>
      <c r="AL771" s="131"/>
      <c r="AM771" s="131"/>
      <c r="AN771" s="131"/>
      <c r="AO771" s="131"/>
      <c r="AP771" s="131"/>
      <c r="AQ771" s="131"/>
      <c r="AR771" s="131"/>
      <c r="AS771" s="131"/>
      <c r="AT771" s="131"/>
      <c r="AU771" s="131"/>
      <c r="AV771" s="131"/>
      <c r="AW771" s="131"/>
      <c r="AX771" s="131"/>
      <c r="AY771" s="131"/>
      <c r="AZ771" s="131"/>
      <c r="BA771" s="131"/>
      <c r="BB771" s="131"/>
      <c r="BC771" s="131"/>
      <c r="BD771" s="131"/>
      <c r="BE771" s="131"/>
      <c r="BF771" s="131"/>
      <c r="BG771" s="131"/>
      <c r="BH771" s="131"/>
      <c r="BI771" s="131"/>
      <c r="BJ771" s="131"/>
      <c r="BK771" s="131"/>
      <c r="BL771" s="131"/>
      <c r="BM771" s="131"/>
      <c r="BN771" s="131"/>
      <c r="BO771" s="131"/>
      <c r="BP771" s="131"/>
      <c r="BQ771" s="131"/>
      <c r="BR771" s="131"/>
      <c r="BS771" s="131"/>
      <c r="BT771" s="131"/>
      <c r="BU771" s="131"/>
      <c r="BV771" s="131"/>
      <c r="BW771" s="131"/>
      <c r="BX771" s="131"/>
      <c r="BY771" s="131"/>
      <c r="BZ771" s="131"/>
      <c r="CA771" s="131"/>
      <c r="CB771" s="131"/>
      <c r="CC771" s="131"/>
      <c r="CD771" s="131"/>
      <c r="CE771" s="131"/>
      <c r="CF771" s="131"/>
      <c r="CG771" s="131"/>
      <c r="CH771" s="131"/>
      <c r="CI771" s="131"/>
      <c r="CJ771" s="131"/>
      <c r="CK771" s="131"/>
      <c r="CL771" s="131"/>
      <c r="CM771" s="131"/>
      <c r="CN771" s="131"/>
      <c r="CO771" s="131"/>
      <c r="CP771" s="131"/>
      <c r="CQ771" s="131"/>
    </row>
    <row r="772" spans="1:95" ht="15" hidden="1" x14ac:dyDescent="0.25">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c r="AC772" s="131"/>
      <c r="AD772" s="131"/>
      <c r="AE772" s="131"/>
      <c r="AF772" s="131"/>
      <c r="AG772" s="131"/>
      <c r="AH772" s="131"/>
      <c r="AI772" s="131"/>
      <c r="AJ772" s="131"/>
      <c r="AK772" s="131"/>
      <c r="AL772" s="131"/>
      <c r="AM772" s="131"/>
      <c r="AN772" s="131"/>
      <c r="AO772" s="131"/>
      <c r="AP772" s="131"/>
      <c r="AQ772" s="131"/>
      <c r="AR772" s="131"/>
      <c r="AS772" s="131"/>
      <c r="AT772" s="131"/>
      <c r="AU772" s="131"/>
      <c r="AV772" s="131"/>
      <c r="AW772" s="131"/>
      <c r="AX772" s="131"/>
      <c r="AY772" s="131"/>
      <c r="AZ772" s="131"/>
      <c r="BA772" s="131"/>
      <c r="BB772" s="131"/>
      <c r="BC772" s="131"/>
      <c r="BD772" s="131"/>
      <c r="BE772" s="131"/>
      <c r="BF772" s="131"/>
      <c r="BG772" s="131"/>
      <c r="BH772" s="131"/>
      <c r="BI772" s="131"/>
      <c r="BJ772" s="131"/>
      <c r="BK772" s="131"/>
      <c r="BL772" s="131"/>
      <c r="BM772" s="131"/>
      <c r="BN772" s="131"/>
      <c r="BO772" s="131"/>
      <c r="BP772" s="131"/>
      <c r="BQ772" s="131"/>
      <c r="BR772" s="131"/>
      <c r="BS772" s="131"/>
      <c r="BT772" s="131"/>
      <c r="BU772" s="131"/>
      <c r="BV772" s="131"/>
      <c r="BW772" s="131"/>
      <c r="BX772" s="131"/>
      <c r="BY772" s="131"/>
      <c r="BZ772" s="131"/>
      <c r="CA772" s="131"/>
      <c r="CB772" s="131"/>
      <c r="CC772" s="131"/>
      <c r="CD772" s="131"/>
      <c r="CE772" s="131"/>
      <c r="CF772" s="131"/>
      <c r="CG772" s="131"/>
      <c r="CH772" s="131"/>
      <c r="CI772" s="131"/>
      <c r="CJ772" s="131"/>
      <c r="CK772" s="131"/>
      <c r="CL772" s="131"/>
      <c r="CM772" s="131"/>
      <c r="CN772" s="131"/>
      <c r="CO772" s="131"/>
      <c r="CP772" s="131"/>
      <c r="CQ772" s="131"/>
    </row>
    <row r="773" spans="1:95" ht="15" hidden="1" x14ac:dyDescent="0.25">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c r="AC773" s="131"/>
      <c r="AD773" s="131"/>
      <c r="AE773" s="131"/>
      <c r="AF773" s="131"/>
      <c r="AG773" s="131"/>
      <c r="AH773" s="131"/>
      <c r="AI773" s="131"/>
      <c r="AJ773" s="131"/>
      <c r="AK773" s="131"/>
      <c r="AL773" s="131"/>
      <c r="AM773" s="131"/>
      <c r="AN773" s="131"/>
      <c r="AO773" s="131"/>
      <c r="AP773" s="131"/>
      <c r="AQ773" s="131"/>
      <c r="AR773" s="131"/>
      <c r="AS773" s="131"/>
      <c r="AT773" s="131"/>
      <c r="AU773" s="131"/>
      <c r="AV773" s="131"/>
      <c r="AW773" s="131"/>
      <c r="AX773" s="131"/>
      <c r="AY773" s="131"/>
      <c r="AZ773" s="131"/>
      <c r="BA773" s="131"/>
      <c r="BB773" s="131"/>
      <c r="BC773" s="131"/>
      <c r="BD773" s="131"/>
      <c r="BE773" s="131"/>
      <c r="BF773" s="131"/>
      <c r="BG773" s="131"/>
      <c r="BH773" s="131"/>
      <c r="BI773" s="131"/>
      <c r="BJ773" s="131"/>
      <c r="BK773" s="131"/>
      <c r="BL773" s="131"/>
      <c r="BM773" s="131"/>
      <c r="BN773" s="131"/>
      <c r="BO773" s="131"/>
      <c r="BP773" s="131"/>
      <c r="BQ773" s="131"/>
      <c r="BR773" s="131"/>
      <c r="BS773" s="131"/>
      <c r="BT773" s="131"/>
      <c r="BU773" s="131"/>
      <c r="BV773" s="131"/>
      <c r="BW773" s="131"/>
      <c r="BX773" s="131"/>
      <c r="BY773" s="131"/>
      <c r="BZ773" s="131"/>
      <c r="CA773" s="131"/>
      <c r="CB773" s="131"/>
      <c r="CC773" s="131"/>
      <c r="CD773" s="131"/>
      <c r="CE773" s="131"/>
      <c r="CF773" s="131"/>
      <c r="CG773" s="131"/>
      <c r="CH773" s="131"/>
      <c r="CI773" s="131"/>
      <c r="CJ773" s="131"/>
      <c r="CK773" s="131"/>
      <c r="CL773" s="131"/>
      <c r="CM773" s="131"/>
      <c r="CN773" s="131"/>
      <c r="CO773" s="131"/>
      <c r="CP773" s="131"/>
      <c r="CQ773" s="131"/>
    </row>
    <row r="774" spans="1:95" ht="15" hidden="1" x14ac:dyDescent="0.25">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c r="AH774" s="131"/>
      <c r="AI774" s="131"/>
      <c r="AJ774" s="131"/>
      <c r="AK774" s="131"/>
      <c r="AL774" s="131"/>
      <c r="AM774" s="131"/>
      <c r="AN774" s="131"/>
      <c r="AO774" s="131"/>
      <c r="AP774" s="131"/>
      <c r="AQ774" s="131"/>
      <c r="AR774" s="131"/>
      <c r="AS774" s="131"/>
      <c r="AT774" s="131"/>
      <c r="AU774" s="131"/>
      <c r="AV774" s="131"/>
      <c r="AW774" s="131"/>
      <c r="AX774" s="131"/>
      <c r="AY774" s="131"/>
      <c r="AZ774" s="131"/>
      <c r="BA774" s="131"/>
      <c r="BB774" s="131"/>
      <c r="BC774" s="131"/>
      <c r="BD774" s="131"/>
      <c r="BE774" s="131"/>
      <c r="BF774" s="131"/>
      <c r="BG774" s="131"/>
      <c r="BH774" s="131"/>
      <c r="BI774" s="131"/>
      <c r="BJ774" s="131"/>
      <c r="BK774" s="131"/>
      <c r="BL774" s="131"/>
      <c r="BM774" s="131"/>
      <c r="BN774" s="131"/>
      <c r="BO774" s="131"/>
      <c r="BP774" s="131"/>
      <c r="BQ774" s="131"/>
      <c r="BR774" s="131"/>
      <c r="BS774" s="131"/>
      <c r="BT774" s="131"/>
      <c r="BU774" s="131"/>
      <c r="BV774" s="131"/>
      <c r="BW774" s="131"/>
      <c r="BX774" s="131"/>
      <c r="BY774" s="131"/>
      <c r="BZ774" s="131"/>
      <c r="CA774" s="131"/>
      <c r="CB774" s="131"/>
      <c r="CC774" s="131"/>
      <c r="CD774" s="131"/>
      <c r="CE774" s="131"/>
      <c r="CF774" s="131"/>
      <c r="CG774" s="131"/>
      <c r="CH774" s="131"/>
      <c r="CI774" s="131"/>
      <c r="CJ774" s="131"/>
      <c r="CK774" s="131"/>
      <c r="CL774" s="131"/>
      <c r="CM774" s="131"/>
      <c r="CN774" s="131"/>
      <c r="CO774" s="131"/>
      <c r="CP774" s="131"/>
      <c r="CQ774" s="131"/>
    </row>
    <row r="775" spans="1:95" ht="15" hidden="1" x14ac:dyDescent="0.25">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1"/>
      <c r="AH775" s="131"/>
      <c r="AI775" s="131"/>
      <c r="AJ775" s="131"/>
      <c r="AK775" s="131"/>
      <c r="AL775" s="131"/>
      <c r="AM775" s="131"/>
      <c r="AN775" s="131"/>
      <c r="AO775" s="131"/>
      <c r="AP775" s="131"/>
      <c r="AQ775" s="131"/>
      <c r="AR775" s="131"/>
      <c r="AS775" s="131"/>
      <c r="AT775" s="131"/>
      <c r="AU775" s="131"/>
      <c r="AV775" s="131"/>
      <c r="AW775" s="131"/>
      <c r="AX775" s="131"/>
      <c r="AY775" s="131"/>
      <c r="AZ775" s="131"/>
      <c r="BA775" s="131"/>
      <c r="BB775" s="131"/>
      <c r="BC775" s="131"/>
      <c r="BD775" s="131"/>
      <c r="BE775" s="131"/>
      <c r="BF775" s="131"/>
      <c r="BG775" s="131"/>
      <c r="BH775" s="131"/>
      <c r="BI775" s="131"/>
      <c r="BJ775" s="131"/>
      <c r="BK775" s="131"/>
      <c r="BL775" s="131"/>
      <c r="BM775" s="131"/>
      <c r="BN775" s="131"/>
      <c r="BO775" s="131"/>
      <c r="BP775" s="131"/>
      <c r="BQ775" s="131"/>
      <c r="BR775" s="131"/>
      <c r="BS775" s="131"/>
      <c r="BT775" s="131"/>
      <c r="BU775" s="131"/>
      <c r="BV775" s="131"/>
      <c r="BW775" s="131"/>
      <c r="BX775" s="131"/>
      <c r="BY775" s="131"/>
      <c r="BZ775" s="131"/>
      <c r="CA775" s="131"/>
      <c r="CB775" s="131"/>
      <c r="CC775" s="131"/>
      <c r="CD775" s="131"/>
      <c r="CE775" s="131"/>
      <c r="CF775" s="131"/>
      <c r="CG775" s="131"/>
      <c r="CH775" s="131"/>
      <c r="CI775" s="131"/>
      <c r="CJ775" s="131"/>
      <c r="CK775" s="131"/>
      <c r="CL775" s="131"/>
      <c r="CM775" s="131"/>
      <c r="CN775" s="131"/>
      <c r="CO775" s="131"/>
      <c r="CP775" s="131"/>
      <c r="CQ775" s="131"/>
    </row>
    <row r="776" spans="1:95" ht="15" hidden="1" x14ac:dyDescent="0.25">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1"/>
      <c r="AH776" s="131"/>
      <c r="AI776" s="131"/>
      <c r="AJ776" s="131"/>
      <c r="AK776" s="131"/>
      <c r="AL776" s="131"/>
      <c r="AM776" s="131"/>
      <c r="AN776" s="131"/>
      <c r="AO776" s="131"/>
      <c r="AP776" s="131"/>
      <c r="AQ776" s="131"/>
      <c r="AR776" s="131"/>
      <c r="AS776" s="131"/>
      <c r="AT776" s="131"/>
      <c r="AU776" s="131"/>
      <c r="AV776" s="131"/>
      <c r="AW776" s="131"/>
      <c r="AX776" s="131"/>
      <c r="AY776" s="131"/>
      <c r="AZ776" s="131"/>
      <c r="BA776" s="131"/>
      <c r="BB776" s="131"/>
      <c r="BC776" s="131"/>
      <c r="BD776" s="131"/>
      <c r="BE776" s="131"/>
      <c r="BF776" s="131"/>
      <c r="BG776" s="131"/>
      <c r="BH776" s="131"/>
      <c r="BI776" s="131"/>
      <c r="BJ776" s="131"/>
      <c r="BK776" s="131"/>
      <c r="BL776" s="131"/>
      <c r="BM776" s="131"/>
      <c r="BN776" s="131"/>
      <c r="BO776" s="131"/>
      <c r="BP776" s="131"/>
      <c r="BQ776" s="131"/>
      <c r="BR776" s="131"/>
      <c r="BS776" s="131"/>
      <c r="BT776" s="131"/>
      <c r="BU776" s="131"/>
      <c r="BV776" s="131"/>
      <c r="BW776" s="131"/>
      <c r="BX776" s="131"/>
      <c r="BY776" s="131"/>
      <c r="BZ776" s="131"/>
      <c r="CA776" s="131"/>
      <c r="CB776" s="131"/>
      <c r="CC776" s="131"/>
      <c r="CD776" s="131"/>
      <c r="CE776" s="131"/>
      <c r="CF776" s="131"/>
      <c r="CG776" s="131"/>
      <c r="CH776" s="131"/>
      <c r="CI776" s="131"/>
      <c r="CJ776" s="131"/>
      <c r="CK776" s="131"/>
      <c r="CL776" s="131"/>
      <c r="CM776" s="131"/>
      <c r="CN776" s="131"/>
      <c r="CO776" s="131"/>
      <c r="CP776" s="131"/>
      <c r="CQ776" s="131"/>
    </row>
    <row r="777" spans="1:95" ht="15" hidden="1" x14ac:dyDescent="0.25">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c r="AC777" s="131"/>
      <c r="AD777" s="131"/>
      <c r="AE777" s="131"/>
      <c r="AF777" s="131"/>
      <c r="AG777" s="131"/>
      <c r="AH777" s="131"/>
      <c r="AI777" s="131"/>
      <c r="AJ777" s="131"/>
      <c r="AK777" s="131"/>
      <c r="AL777" s="131"/>
      <c r="AM777" s="131"/>
      <c r="AN777" s="131"/>
      <c r="AO777" s="131"/>
      <c r="AP777" s="131"/>
      <c r="AQ777" s="131"/>
      <c r="AR777" s="131"/>
      <c r="AS777" s="131"/>
      <c r="AT777" s="131"/>
      <c r="AU777" s="131"/>
      <c r="AV777" s="131"/>
      <c r="AW777" s="131"/>
      <c r="AX777" s="131"/>
      <c r="AY777" s="131"/>
      <c r="AZ777" s="131"/>
      <c r="BA777" s="131"/>
      <c r="BB777" s="131"/>
      <c r="BC777" s="131"/>
      <c r="BD777" s="131"/>
      <c r="BE777" s="131"/>
      <c r="BF777" s="131"/>
      <c r="BG777" s="131"/>
      <c r="BH777" s="131"/>
      <c r="BI777" s="131"/>
      <c r="BJ777" s="131"/>
      <c r="BK777" s="131"/>
      <c r="BL777" s="131"/>
      <c r="BM777" s="131"/>
      <c r="BN777" s="131"/>
      <c r="BO777" s="131"/>
      <c r="BP777" s="131"/>
      <c r="BQ777" s="131"/>
      <c r="BR777" s="131"/>
      <c r="BS777" s="131"/>
      <c r="BT777" s="131"/>
      <c r="BU777" s="131"/>
      <c r="BV777" s="131"/>
      <c r="BW777" s="131"/>
      <c r="BX777" s="131"/>
      <c r="BY777" s="131"/>
      <c r="BZ777" s="131"/>
      <c r="CA777" s="131"/>
      <c r="CB777" s="131"/>
      <c r="CC777" s="131"/>
      <c r="CD777" s="131"/>
      <c r="CE777" s="131"/>
      <c r="CF777" s="131"/>
      <c r="CG777" s="131"/>
      <c r="CH777" s="131"/>
      <c r="CI777" s="131"/>
      <c r="CJ777" s="131"/>
      <c r="CK777" s="131"/>
      <c r="CL777" s="131"/>
      <c r="CM777" s="131"/>
      <c r="CN777" s="131"/>
      <c r="CO777" s="131"/>
      <c r="CP777" s="131"/>
      <c r="CQ777" s="131"/>
    </row>
    <row r="778" spans="1:95" ht="15" hidden="1" x14ac:dyDescent="0.25">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c r="AC778" s="131"/>
      <c r="AD778" s="131"/>
      <c r="AE778" s="131"/>
      <c r="AF778" s="131"/>
      <c r="AG778" s="131"/>
      <c r="AH778" s="131"/>
      <c r="AI778" s="131"/>
      <c r="AJ778" s="131"/>
      <c r="AK778" s="131"/>
      <c r="AL778" s="131"/>
      <c r="AM778" s="131"/>
      <c r="AN778" s="131"/>
      <c r="AO778" s="131"/>
      <c r="AP778" s="131"/>
      <c r="AQ778" s="131"/>
      <c r="AR778" s="131"/>
      <c r="AS778" s="131"/>
      <c r="AT778" s="131"/>
      <c r="AU778" s="131"/>
      <c r="AV778" s="131"/>
      <c r="AW778" s="131"/>
      <c r="AX778" s="131"/>
      <c r="AY778" s="131"/>
      <c r="AZ778" s="131"/>
      <c r="BA778" s="131"/>
      <c r="BB778" s="131"/>
      <c r="BC778" s="131"/>
      <c r="BD778" s="131"/>
      <c r="BE778" s="131"/>
      <c r="BF778" s="131"/>
      <c r="BG778" s="131"/>
      <c r="BH778" s="131"/>
      <c r="BI778" s="131"/>
      <c r="BJ778" s="131"/>
      <c r="BK778" s="131"/>
      <c r="BL778" s="131"/>
      <c r="BM778" s="131"/>
      <c r="BN778" s="131"/>
      <c r="BO778" s="131"/>
      <c r="BP778" s="131"/>
      <c r="BQ778" s="131"/>
      <c r="BR778" s="131"/>
      <c r="BS778" s="131"/>
      <c r="BT778" s="131"/>
      <c r="BU778" s="131"/>
      <c r="BV778" s="131"/>
      <c r="BW778" s="131"/>
      <c r="BX778" s="131"/>
      <c r="BY778" s="131"/>
      <c r="BZ778" s="131"/>
      <c r="CA778" s="131"/>
      <c r="CB778" s="131"/>
      <c r="CC778" s="131"/>
      <c r="CD778" s="131"/>
      <c r="CE778" s="131"/>
      <c r="CF778" s="131"/>
      <c r="CG778" s="131"/>
      <c r="CH778" s="131"/>
      <c r="CI778" s="131"/>
      <c r="CJ778" s="131"/>
      <c r="CK778" s="131"/>
      <c r="CL778" s="131"/>
      <c r="CM778" s="131"/>
      <c r="CN778" s="131"/>
      <c r="CO778" s="131"/>
      <c r="CP778" s="131"/>
      <c r="CQ778" s="131"/>
    </row>
    <row r="779" spans="1:95" ht="15" hidden="1" x14ac:dyDescent="0.25">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c r="AH779" s="131"/>
      <c r="AI779" s="131"/>
      <c r="AJ779" s="131"/>
      <c r="AK779" s="131"/>
      <c r="AL779" s="131"/>
      <c r="AM779" s="131"/>
      <c r="AN779" s="131"/>
      <c r="AO779" s="131"/>
      <c r="AP779" s="131"/>
      <c r="AQ779" s="131"/>
      <c r="AR779" s="131"/>
      <c r="AS779" s="131"/>
      <c r="AT779" s="131"/>
      <c r="AU779" s="131"/>
      <c r="AV779" s="131"/>
      <c r="AW779" s="131"/>
      <c r="AX779" s="131"/>
      <c r="AY779" s="131"/>
      <c r="AZ779" s="131"/>
      <c r="BA779" s="131"/>
      <c r="BB779" s="131"/>
      <c r="BC779" s="131"/>
      <c r="BD779" s="131"/>
      <c r="BE779" s="131"/>
      <c r="BF779" s="131"/>
      <c r="BG779" s="131"/>
      <c r="BH779" s="131"/>
      <c r="BI779" s="131"/>
      <c r="BJ779" s="131"/>
      <c r="BK779" s="131"/>
      <c r="BL779" s="131"/>
      <c r="BM779" s="131"/>
      <c r="BN779" s="131"/>
      <c r="BO779" s="131"/>
      <c r="BP779" s="131"/>
      <c r="BQ779" s="131"/>
      <c r="BR779" s="131"/>
      <c r="BS779" s="131"/>
      <c r="BT779" s="131"/>
      <c r="BU779" s="131"/>
      <c r="BV779" s="131"/>
      <c r="BW779" s="131"/>
      <c r="BX779" s="131"/>
      <c r="BY779" s="131"/>
      <c r="BZ779" s="131"/>
      <c r="CA779" s="131"/>
      <c r="CB779" s="131"/>
      <c r="CC779" s="131"/>
      <c r="CD779" s="131"/>
      <c r="CE779" s="131"/>
      <c r="CF779" s="131"/>
      <c r="CG779" s="131"/>
      <c r="CH779" s="131"/>
      <c r="CI779" s="131"/>
      <c r="CJ779" s="131"/>
      <c r="CK779" s="131"/>
      <c r="CL779" s="131"/>
      <c r="CM779" s="131"/>
      <c r="CN779" s="131"/>
      <c r="CO779" s="131"/>
      <c r="CP779" s="131"/>
      <c r="CQ779" s="131"/>
    </row>
    <row r="780" spans="1:95" ht="15" hidden="1" x14ac:dyDescent="0.25">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c r="AC780" s="131"/>
      <c r="AD780" s="131"/>
      <c r="AE780" s="131"/>
      <c r="AF780" s="131"/>
      <c r="AG780" s="131"/>
      <c r="AH780" s="131"/>
      <c r="AI780" s="131"/>
      <c r="AJ780" s="131"/>
      <c r="AK780" s="131"/>
      <c r="AL780" s="131"/>
      <c r="AM780" s="131"/>
      <c r="AN780" s="131"/>
      <c r="AO780" s="131"/>
      <c r="AP780" s="131"/>
      <c r="AQ780" s="131"/>
      <c r="AR780" s="131"/>
      <c r="AS780" s="131"/>
      <c r="AT780" s="131"/>
      <c r="AU780" s="131"/>
      <c r="AV780" s="131"/>
      <c r="AW780" s="131"/>
      <c r="AX780" s="131"/>
      <c r="AY780" s="131"/>
      <c r="AZ780" s="131"/>
      <c r="BA780" s="131"/>
      <c r="BB780" s="131"/>
      <c r="BC780" s="131"/>
      <c r="BD780" s="131"/>
      <c r="BE780" s="131"/>
      <c r="BF780" s="131"/>
      <c r="BG780" s="131"/>
      <c r="BH780" s="131"/>
      <c r="BI780" s="131"/>
      <c r="BJ780" s="131"/>
      <c r="BK780" s="131"/>
      <c r="BL780" s="131"/>
      <c r="BM780" s="131"/>
      <c r="BN780" s="131"/>
      <c r="BO780" s="131"/>
      <c r="BP780" s="131"/>
      <c r="BQ780" s="131"/>
      <c r="BR780" s="131"/>
      <c r="BS780" s="131"/>
      <c r="BT780" s="131"/>
      <c r="BU780" s="131"/>
      <c r="BV780" s="131"/>
      <c r="BW780" s="131"/>
      <c r="BX780" s="131"/>
      <c r="BY780" s="131"/>
      <c r="BZ780" s="131"/>
      <c r="CA780" s="131"/>
      <c r="CB780" s="131"/>
      <c r="CC780" s="131"/>
      <c r="CD780" s="131"/>
      <c r="CE780" s="131"/>
      <c r="CF780" s="131"/>
      <c r="CG780" s="131"/>
      <c r="CH780" s="131"/>
      <c r="CI780" s="131"/>
      <c r="CJ780" s="131"/>
      <c r="CK780" s="131"/>
      <c r="CL780" s="131"/>
      <c r="CM780" s="131"/>
      <c r="CN780" s="131"/>
      <c r="CO780" s="131"/>
      <c r="CP780" s="131"/>
      <c r="CQ780" s="131"/>
    </row>
    <row r="781" spans="1:95" ht="15" hidden="1" x14ac:dyDescent="0.25">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c r="AC781" s="131"/>
      <c r="AD781" s="131"/>
      <c r="AE781" s="131"/>
      <c r="AF781" s="131"/>
      <c r="AG781" s="131"/>
      <c r="AH781" s="131"/>
      <c r="AI781" s="131"/>
      <c r="AJ781" s="131"/>
      <c r="AK781" s="131"/>
      <c r="AL781" s="131"/>
      <c r="AM781" s="131"/>
      <c r="AN781" s="131"/>
      <c r="AO781" s="131"/>
      <c r="AP781" s="131"/>
      <c r="AQ781" s="131"/>
      <c r="AR781" s="131"/>
      <c r="AS781" s="131"/>
      <c r="AT781" s="131"/>
      <c r="AU781" s="131"/>
      <c r="AV781" s="131"/>
      <c r="AW781" s="131"/>
      <c r="AX781" s="131"/>
      <c r="AY781" s="131"/>
      <c r="AZ781" s="131"/>
      <c r="BA781" s="131"/>
      <c r="BB781" s="131"/>
      <c r="BC781" s="131"/>
      <c r="BD781" s="131"/>
      <c r="BE781" s="131"/>
      <c r="BF781" s="131"/>
      <c r="BG781" s="131"/>
      <c r="BH781" s="131"/>
      <c r="BI781" s="131"/>
      <c r="BJ781" s="131"/>
      <c r="BK781" s="131"/>
      <c r="BL781" s="131"/>
      <c r="BM781" s="131"/>
      <c r="BN781" s="131"/>
      <c r="BO781" s="131"/>
      <c r="BP781" s="131"/>
      <c r="BQ781" s="131"/>
      <c r="BR781" s="131"/>
      <c r="BS781" s="131"/>
      <c r="BT781" s="131"/>
      <c r="BU781" s="131"/>
      <c r="BV781" s="131"/>
      <c r="BW781" s="131"/>
      <c r="BX781" s="131"/>
      <c r="BY781" s="131"/>
      <c r="BZ781" s="131"/>
      <c r="CA781" s="131"/>
      <c r="CB781" s="131"/>
      <c r="CC781" s="131"/>
      <c r="CD781" s="131"/>
      <c r="CE781" s="131"/>
      <c r="CF781" s="131"/>
      <c r="CG781" s="131"/>
      <c r="CH781" s="131"/>
      <c r="CI781" s="131"/>
      <c r="CJ781" s="131"/>
      <c r="CK781" s="131"/>
      <c r="CL781" s="131"/>
      <c r="CM781" s="131"/>
      <c r="CN781" s="131"/>
      <c r="CO781" s="131"/>
      <c r="CP781" s="131"/>
      <c r="CQ781" s="131"/>
    </row>
    <row r="782" spans="1:95" ht="15" hidden="1" x14ac:dyDescent="0.25">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c r="AC782" s="131"/>
      <c r="AD782" s="131"/>
      <c r="AE782" s="131"/>
      <c r="AF782" s="131"/>
      <c r="AG782" s="131"/>
      <c r="AH782" s="131"/>
      <c r="AI782" s="131"/>
      <c r="AJ782" s="131"/>
      <c r="AK782" s="131"/>
      <c r="AL782" s="131"/>
      <c r="AM782" s="131"/>
      <c r="AN782" s="131"/>
      <c r="AO782" s="131"/>
      <c r="AP782" s="131"/>
      <c r="AQ782" s="131"/>
      <c r="AR782" s="131"/>
      <c r="AS782" s="131"/>
      <c r="AT782" s="131"/>
      <c r="AU782" s="131"/>
      <c r="AV782" s="131"/>
      <c r="AW782" s="131"/>
      <c r="AX782" s="131"/>
      <c r="AY782" s="131"/>
      <c r="AZ782" s="131"/>
      <c r="BA782" s="131"/>
      <c r="BB782" s="131"/>
      <c r="BC782" s="131"/>
      <c r="BD782" s="131"/>
      <c r="BE782" s="131"/>
      <c r="BF782" s="131"/>
      <c r="BG782" s="131"/>
      <c r="BH782" s="131"/>
      <c r="BI782" s="131"/>
      <c r="BJ782" s="131"/>
      <c r="BK782" s="131"/>
      <c r="BL782" s="131"/>
      <c r="BM782" s="131"/>
      <c r="BN782" s="131"/>
      <c r="BO782" s="131"/>
      <c r="BP782" s="131"/>
      <c r="BQ782" s="131"/>
      <c r="BR782" s="131"/>
      <c r="BS782" s="131"/>
      <c r="BT782" s="131"/>
      <c r="BU782" s="131"/>
      <c r="BV782" s="131"/>
      <c r="BW782" s="131"/>
      <c r="BX782" s="131"/>
      <c r="BY782" s="131"/>
      <c r="BZ782" s="131"/>
      <c r="CA782" s="131"/>
      <c r="CB782" s="131"/>
      <c r="CC782" s="131"/>
      <c r="CD782" s="131"/>
      <c r="CE782" s="131"/>
      <c r="CF782" s="131"/>
      <c r="CG782" s="131"/>
      <c r="CH782" s="131"/>
      <c r="CI782" s="131"/>
      <c r="CJ782" s="131"/>
      <c r="CK782" s="131"/>
      <c r="CL782" s="131"/>
      <c r="CM782" s="131"/>
      <c r="CN782" s="131"/>
      <c r="CO782" s="131"/>
      <c r="CP782" s="131"/>
      <c r="CQ782" s="131"/>
    </row>
    <row r="783" spans="1:95" ht="15" hidden="1" x14ac:dyDescent="0.25">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1"/>
      <c r="AH783" s="131"/>
      <c r="AI783" s="131"/>
      <c r="AJ783" s="131"/>
      <c r="AK783" s="131"/>
      <c r="AL783" s="131"/>
      <c r="AM783" s="131"/>
      <c r="AN783" s="131"/>
      <c r="AO783" s="131"/>
      <c r="AP783" s="131"/>
      <c r="AQ783" s="131"/>
      <c r="AR783" s="131"/>
      <c r="AS783" s="131"/>
      <c r="AT783" s="131"/>
      <c r="AU783" s="131"/>
      <c r="AV783" s="131"/>
      <c r="AW783" s="131"/>
      <c r="AX783" s="131"/>
      <c r="AY783" s="131"/>
      <c r="AZ783" s="131"/>
      <c r="BA783" s="131"/>
      <c r="BB783" s="131"/>
      <c r="BC783" s="131"/>
      <c r="BD783" s="131"/>
      <c r="BE783" s="131"/>
      <c r="BF783" s="131"/>
      <c r="BG783" s="131"/>
      <c r="BH783" s="131"/>
      <c r="BI783" s="131"/>
      <c r="BJ783" s="131"/>
      <c r="BK783" s="131"/>
      <c r="BL783" s="131"/>
      <c r="BM783" s="131"/>
      <c r="BN783" s="131"/>
      <c r="BO783" s="131"/>
      <c r="BP783" s="131"/>
      <c r="BQ783" s="131"/>
      <c r="BR783" s="131"/>
      <c r="BS783" s="131"/>
      <c r="BT783" s="131"/>
      <c r="BU783" s="131"/>
      <c r="BV783" s="131"/>
      <c r="BW783" s="131"/>
      <c r="BX783" s="131"/>
      <c r="BY783" s="131"/>
      <c r="BZ783" s="131"/>
      <c r="CA783" s="131"/>
      <c r="CB783" s="131"/>
      <c r="CC783" s="131"/>
      <c r="CD783" s="131"/>
      <c r="CE783" s="131"/>
      <c r="CF783" s="131"/>
      <c r="CG783" s="131"/>
      <c r="CH783" s="131"/>
      <c r="CI783" s="131"/>
      <c r="CJ783" s="131"/>
      <c r="CK783" s="131"/>
      <c r="CL783" s="131"/>
      <c r="CM783" s="131"/>
      <c r="CN783" s="131"/>
      <c r="CO783" s="131"/>
      <c r="CP783" s="131"/>
      <c r="CQ783" s="131"/>
    </row>
    <row r="784" spans="1:95" ht="15" hidden="1" x14ac:dyDescent="0.25">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c r="AN784" s="131"/>
      <c r="AO784" s="131"/>
      <c r="AP784" s="131"/>
      <c r="AQ784" s="131"/>
      <c r="AR784" s="131"/>
      <c r="AS784" s="131"/>
      <c r="AT784" s="131"/>
      <c r="AU784" s="131"/>
      <c r="AV784" s="131"/>
      <c r="AW784" s="131"/>
      <c r="AX784" s="131"/>
      <c r="AY784" s="131"/>
      <c r="AZ784" s="131"/>
      <c r="BA784" s="131"/>
      <c r="BB784" s="131"/>
      <c r="BC784" s="131"/>
      <c r="BD784" s="131"/>
      <c r="BE784" s="131"/>
      <c r="BF784" s="131"/>
      <c r="BG784" s="131"/>
      <c r="BH784" s="131"/>
      <c r="BI784" s="131"/>
      <c r="BJ784" s="131"/>
      <c r="BK784" s="131"/>
      <c r="BL784" s="131"/>
      <c r="BM784" s="131"/>
      <c r="BN784" s="131"/>
      <c r="BO784" s="131"/>
      <c r="BP784" s="131"/>
      <c r="BQ784" s="131"/>
      <c r="BR784" s="131"/>
      <c r="BS784" s="131"/>
      <c r="BT784" s="131"/>
      <c r="BU784" s="131"/>
      <c r="BV784" s="131"/>
      <c r="BW784" s="131"/>
      <c r="BX784" s="131"/>
      <c r="BY784" s="131"/>
      <c r="BZ784" s="131"/>
      <c r="CA784" s="131"/>
      <c r="CB784" s="131"/>
      <c r="CC784" s="131"/>
      <c r="CD784" s="131"/>
      <c r="CE784" s="131"/>
      <c r="CF784" s="131"/>
      <c r="CG784" s="131"/>
      <c r="CH784" s="131"/>
      <c r="CI784" s="131"/>
      <c r="CJ784" s="131"/>
      <c r="CK784" s="131"/>
      <c r="CL784" s="131"/>
      <c r="CM784" s="131"/>
      <c r="CN784" s="131"/>
      <c r="CO784" s="131"/>
      <c r="CP784" s="131"/>
      <c r="CQ784" s="131"/>
    </row>
    <row r="785" spans="1:95" ht="15" hidden="1" x14ac:dyDescent="0.25">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c r="AN785" s="131"/>
      <c r="AO785" s="131"/>
      <c r="AP785" s="131"/>
      <c r="AQ785" s="131"/>
      <c r="AR785" s="131"/>
      <c r="AS785" s="131"/>
      <c r="AT785" s="131"/>
      <c r="AU785" s="131"/>
      <c r="AV785" s="131"/>
      <c r="AW785" s="131"/>
      <c r="AX785" s="131"/>
      <c r="AY785" s="131"/>
      <c r="AZ785" s="131"/>
      <c r="BA785" s="131"/>
      <c r="BB785" s="131"/>
      <c r="BC785" s="131"/>
      <c r="BD785" s="131"/>
      <c r="BE785" s="131"/>
      <c r="BF785" s="131"/>
      <c r="BG785" s="131"/>
      <c r="BH785" s="131"/>
      <c r="BI785" s="131"/>
      <c r="BJ785" s="131"/>
      <c r="BK785" s="131"/>
      <c r="BL785" s="131"/>
      <c r="BM785" s="131"/>
      <c r="BN785" s="131"/>
      <c r="BO785" s="131"/>
      <c r="BP785" s="131"/>
      <c r="BQ785" s="131"/>
      <c r="BR785" s="131"/>
      <c r="BS785" s="131"/>
      <c r="BT785" s="131"/>
      <c r="BU785" s="131"/>
      <c r="BV785" s="131"/>
      <c r="BW785" s="131"/>
      <c r="BX785" s="131"/>
      <c r="BY785" s="131"/>
      <c r="BZ785" s="131"/>
      <c r="CA785" s="131"/>
      <c r="CB785" s="131"/>
      <c r="CC785" s="131"/>
      <c r="CD785" s="131"/>
      <c r="CE785" s="131"/>
      <c r="CF785" s="131"/>
      <c r="CG785" s="131"/>
      <c r="CH785" s="131"/>
      <c r="CI785" s="131"/>
      <c r="CJ785" s="131"/>
      <c r="CK785" s="131"/>
      <c r="CL785" s="131"/>
      <c r="CM785" s="131"/>
      <c r="CN785" s="131"/>
      <c r="CO785" s="131"/>
      <c r="CP785" s="131"/>
      <c r="CQ785" s="131"/>
    </row>
    <row r="786" spans="1:95" ht="15" hidden="1" x14ac:dyDescent="0.25">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c r="AC786" s="131"/>
      <c r="AD786" s="131"/>
      <c r="AE786" s="131"/>
      <c r="AF786" s="131"/>
      <c r="AG786" s="131"/>
      <c r="AH786" s="131"/>
      <c r="AI786" s="131"/>
      <c r="AJ786" s="131"/>
      <c r="AK786" s="131"/>
      <c r="AL786" s="131"/>
      <c r="AM786" s="131"/>
      <c r="AN786" s="131"/>
      <c r="AO786" s="131"/>
      <c r="AP786" s="131"/>
      <c r="AQ786" s="131"/>
      <c r="AR786" s="131"/>
      <c r="AS786" s="131"/>
      <c r="AT786" s="131"/>
      <c r="AU786" s="131"/>
      <c r="AV786" s="131"/>
      <c r="AW786" s="131"/>
      <c r="AX786" s="131"/>
      <c r="AY786" s="131"/>
      <c r="AZ786" s="131"/>
      <c r="BA786" s="131"/>
      <c r="BB786" s="131"/>
      <c r="BC786" s="131"/>
      <c r="BD786" s="131"/>
      <c r="BE786" s="131"/>
      <c r="BF786" s="131"/>
      <c r="BG786" s="131"/>
      <c r="BH786" s="131"/>
      <c r="BI786" s="131"/>
      <c r="BJ786" s="131"/>
      <c r="BK786" s="131"/>
      <c r="BL786" s="131"/>
      <c r="BM786" s="131"/>
      <c r="BN786" s="131"/>
      <c r="BO786" s="131"/>
      <c r="BP786" s="131"/>
      <c r="BQ786" s="131"/>
      <c r="BR786" s="131"/>
      <c r="BS786" s="131"/>
      <c r="BT786" s="131"/>
      <c r="BU786" s="131"/>
      <c r="BV786" s="131"/>
      <c r="BW786" s="131"/>
      <c r="BX786" s="131"/>
      <c r="BY786" s="131"/>
      <c r="BZ786" s="131"/>
      <c r="CA786" s="131"/>
      <c r="CB786" s="131"/>
      <c r="CC786" s="131"/>
      <c r="CD786" s="131"/>
      <c r="CE786" s="131"/>
      <c r="CF786" s="131"/>
      <c r="CG786" s="131"/>
      <c r="CH786" s="131"/>
      <c r="CI786" s="131"/>
      <c r="CJ786" s="131"/>
      <c r="CK786" s="131"/>
      <c r="CL786" s="131"/>
      <c r="CM786" s="131"/>
      <c r="CN786" s="131"/>
      <c r="CO786" s="131"/>
      <c r="CP786" s="131"/>
      <c r="CQ786" s="131"/>
    </row>
    <row r="787" spans="1:95" ht="15" hidden="1" x14ac:dyDescent="0.25">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c r="AC787" s="131"/>
      <c r="AD787" s="131"/>
      <c r="AE787" s="131"/>
      <c r="AF787" s="131"/>
      <c r="AG787" s="131"/>
      <c r="AH787" s="131"/>
      <c r="AI787" s="131"/>
      <c r="AJ787" s="131"/>
      <c r="AK787" s="131"/>
      <c r="AL787" s="131"/>
      <c r="AM787" s="131"/>
      <c r="AN787" s="131"/>
      <c r="AO787" s="131"/>
      <c r="AP787" s="131"/>
      <c r="AQ787" s="131"/>
      <c r="AR787" s="131"/>
      <c r="AS787" s="131"/>
      <c r="AT787" s="131"/>
      <c r="AU787" s="131"/>
      <c r="AV787" s="131"/>
      <c r="AW787" s="131"/>
      <c r="AX787" s="131"/>
      <c r="AY787" s="131"/>
      <c r="AZ787" s="131"/>
      <c r="BA787" s="131"/>
      <c r="BB787" s="131"/>
      <c r="BC787" s="131"/>
      <c r="BD787" s="131"/>
      <c r="BE787" s="131"/>
      <c r="BF787" s="131"/>
      <c r="BG787" s="131"/>
      <c r="BH787" s="131"/>
      <c r="BI787" s="131"/>
      <c r="BJ787" s="131"/>
      <c r="BK787" s="131"/>
      <c r="BL787" s="131"/>
      <c r="BM787" s="131"/>
      <c r="BN787" s="131"/>
      <c r="BO787" s="131"/>
      <c r="BP787" s="131"/>
      <c r="BQ787" s="131"/>
      <c r="BR787" s="131"/>
      <c r="BS787" s="131"/>
      <c r="BT787" s="131"/>
      <c r="BU787" s="131"/>
      <c r="BV787" s="131"/>
      <c r="BW787" s="131"/>
      <c r="BX787" s="131"/>
      <c r="BY787" s="131"/>
      <c r="BZ787" s="131"/>
      <c r="CA787" s="131"/>
      <c r="CB787" s="131"/>
      <c r="CC787" s="131"/>
      <c r="CD787" s="131"/>
      <c r="CE787" s="131"/>
      <c r="CF787" s="131"/>
      <c r="CG787" s="131"/>
      <c r="CH787" s="131"/>
      <c r="CI787" s="131"/>
      <c r="CJ787" s="131"/>
      <c r="CK787" s="131"/>
      <c r="CL787" s="131"/>
      <c r="CM787" s="131"/>
      <c r="CN787" s="131"/>
      <c r="CO787" s="131"/>
      <c r="CP787" s="131"/>
      <c r="CQ787" s="131"/>
    </row>
    <row r="788" spans="1:95" ht="15" hidden="1" x14ac:dyDescent="0.25">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c r="AC788" s="131"/>
      <c r="AD788" s="131"/>
      <c r="AE788" s="131"/>
      <c r="AF788" s="131"/>
      <c r="AG788" s="131"/>
      <c r="AH788" s="131"/>
      <c r="AI788" s="131"/>
      <c r="AJ788" s="131"/>
      <c r="AK788" s="131"/>
      <c r="AL788" s="131"/>
      <c r="AM788" s="131"/>
      <c r="AN788" s="131"/>
      <c r="AO788" s="131"/>
      <c r="AP788" s="131"/>
      <c r="AQ788" s="131"/>
      <c r="AR788" s="131"/>
      <c r="AS788" s="131"/>
      <c r="AT788" s="131"/>
      <c r="AU788" s="131"/>
      <c r="AV788" s="131"/>
      <c r="AW788" s="131"/>
      <c r="AX788" s="131"/>
      <c r="AY788" s="131"/>
      <c r="AZ788" s="131"/>
      <c r="BA788" s="131"/>
      <c r="BB788" s="131"/>
      <c r="BC788" s="131"/>
      <c r="BD788" s="131"/>
      <c r="BE788" s="131"/>
      <c r="BF788" s="131"/>
      <c r="BG788" s="131"/>
      <c r="BH788" s="131"/>
      <c r="BI788" s="131"/>
      <c r="BJ788" s="131"/>
      <c r="BK788" s="131"/>
      <c r="BL788" s="131"/>
      <c r="BM788" s="131"/>
      <c r="BN788" s="131"/>
      <c r="BO788" s="131"/>
      <c r="BP788" s="131"/>
      <c r="BQ788" s="131"/>
      <c r="BR788" s="131"/>
      <c r="BS788" s="131"/>
      <c r="BT788" s="131"/>
      <c r="BU788" s="131"/>
      <c r="BV788" s="131"/>
      <c r="BW788" s="131"/>
      <c r="BX788" s="131"/>
      <c r="BY788" s="131"/>
      <c r="BZ788" s="131"/>
      <c r="CA788" s="131"/>
      <c r="CB788" s="131"/>
      <c r="CC788" s="131"/>
      <c r="CD788" s="131"/>
      <c r="CE788" s="131"/>
      <c r="CF788" s="131"/>
      <c r="CG788" s="131"/>
      <c r="CH788" s="131"/>
      <c r="CI788" s="131"/>
      <c r="CJ788" s="131"/>
      <c r="CK788" s="131"/>
      <c r="CL788" s="131"/>
      <c r="CM788" s="131"/>
      <c r="CN788" s="131"/>
      <c r="CO788" s="131"/>
      <c r="CP788" s="131"/>
      <c r="CQ788" s="131"/>
    </row>
    <row r="789" spans="1:95" ht="15" hidden="1" x14ac:dyDescent="0.25">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c r="AC789" s="131"/>
      <c r="AD789" s="131"/>
      <c r="AE789" s="131"/>
      <c r="AF789" s="131"/>
      <c r="AG789" s="131"/>
      <c r="AH789" s="131"/>
      <c r="AI789" s="131"/>
      <c r="AJ789" s="131"/>
      <c r="AK789" s="131"/>
      <c r="AL789" s="131"/>
      <c r="AM789" s="131"/>
      <c r="AN789" s="131"/>
      <c r="AO789" s="131"/>
      <c r="AP789" s="131"/>
      <c r="AQ789" s="131"/>
      <c r="AR789" s="131"/>
      <c r="AS789" s="131"/>
      <c r="AT789" s="131"/>
      <c r="AU789" s="131"/>
      <c r="AV789" s="131"/>
      <c r="AW789" s="131"/>
      <c r="AX789" s="131"/>
      <c r="AY789" s="131"/>
      <c r="AZ789" s="131"/>
      <c r="BA789" s="131"/>
      <c r="BB789" s="131"/>
      <c r="BC789" s="131"/>
      <c r="BD789" s="131"/>
      <c r="BE789" s="131"/>
      <c r="BF789" s="131"/>
      <c r="BG789" s="131"/>
      <c r="BH789" s="131"/>
      <c r="BI789" s="131"/>
      <c r="BJ789" s="131"/>
      <c r="BK789" s="131"/>
      <c r="BL789" s="131"/>
      <c r="BM789" s="131"/>
      <c r="BN789" s="131"/>
      <c r="BO789" s="131"/>
      <c r="BP789" s="131"/>
      <c r="BQ789" s="131"/>
      <c r="BR789" s="131"/>
      <c r="BS789" s="131"/>
      <c r="BT789" s="131"/>
      <c r="BU789" s="131"/>
      <c r="BV789" s="131"/>
      <c r="BW789" s="131"/>
      <c r="BX789" s="131"/>
      <c r="BY789" s="131"/>
      <c r="BZ789" s="131"/>
      <c r="CA789" s="131"/>
      <c r="CB789" s="131"/>
      <c r="CC789" s="131"/>
      <c r="CD789" s="131"/>
      <c r="CE789" s="131"/>
      <c r="CF789" s="131"/>
      <c r="CG789" s="131"/>
      <c r="CH789" s="131"/>
      <c r="CI789" s="131"/>
      <c r="CJ789" s="131"/>
      <c r="CK789" s="131"/>
      <c r="CL789" s="131"/>
      <c r="CM789" s="131"/>
      <c r="CN789" s="131"/>
      <c r="CO789" s="131"/>
      <c r="CP789" s="131"/>
      <c r="CQ789" s="131"/>
    </row>
    <row r="790" spans="1:95" ht="15" hidden="1" x14ac:dyDescent="0.25">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c r="AC790" s="131"/>
      <c r="AD790" s="131"/>
      <c r="AE790" s="131"/>
      <c r="AF790" s="131"/>
      <c r="AG790" s="131"/>
      <c r="AH790" s="131"/>
      <c r="AI790" s="131"/>
      <c r="AJ790" s="131"/>
      <c r="AK790" s="131"/>
      <c r="AL790" s="131"/>
      <c r="AM790" s="131"/>
      <c r="AN790" s="131"/>
      <c r="AO790" s="131"/>
      <c r="AP790" s="131"/>
      <c r="AQ790" s="131"/>
      <c r="AR790" s="131"/>
      <c r="AS790" s="131"/>
      <c r="AT790" s="131"/>
      <c r="AU790" s="131"/>
      <c r="AV790" s="131"/>
      <c r="AW790" s="131"/>
      <c r="AX790" s="131"/>
      <c r="AY790" s="131"/>
      <c r="AZ790" s="131"/>
      <c r="BA790" s="131"/>
      <c r="BB790" s="131"/>
      <c r="BC790" s="131"/>
      <c r="BD790" s="131"/>
      <c r="BE790" s="131"/>
      <c r="BF790" s="131"/>
      <c r="BG790" s="131"/>
      <c r="BH790" s="131"/>
      <c r="BI790" s="131"/>
      <c r="BJ790" s="131"/>
      <c r="BK790" s="131"/>
      <c r="BL790" s="131"/>
      <c r="BM790" s="131"/>
      <c r="BN790" s="131"/>
      <c r="BO790" s="131"/>
      <c r="BP790" s="131"/>
      <c r="BQ790" s="131"/>
      <c r="BR790" s="131"/>
      <c r="BS790" s="131"/>
      <c r="BT790" s="131"/>
      <c r="BU790" s="131"/>
      <c r="BV790" s="131"/>
      <c r="BW790" s="131"/>
      <c r="BX790" s="131"/>
      <c r="BY790" s="131"/>
      <c r="BZ790" s="131"/>
      <c r="CA790" s="131"/>
      <c r="CB790" s="131"/>
      <c r="CC790" s="131"/>
      <c r="CD790" s="131"/>
      <c r="CE790" s="131"/>
      <c r="CF790" s="131"/>
      <c r="CG790" s="131"/>
      <c r="CH790" s="131"/>
      <c r="CI790" s="131"/>
      <c r="CJ790" s="131"/>
      <c r="CK790" s="131"/>
      <c r="CL790" s="131"/>
      <c r="CM790" s="131"/>
      <c r="CN790" s="131"/>
      <c r="CO790" s="131"/>
      <c r="CP790" s="131"/>
      <c r="CQ790" s="131"/>
    </row>
    <row r="791" spans="1:95" ht="15" hidden="1" x14ac:dyDescent="0.25">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c r="AC791" s="131"/>
      <c r="AD791" s="131"/>
      <c r="AE791" s="131"/>
      <c r="AF791" s="131"/>
      <c r="AG791" s="131"/>
      <c r="AH791" s="131"/>
      <c r="AI791" s="131"/>
      <c r="AJ791" s="131"/>
      <c r="AK791" s="131"/>
      <c r="AL791" s="131"/>
      <c r="AM791" s="131"/>
      <c r="AN791" s="131"/>
      <c r="AO791" s="131"/>
      <c r="AP791" s="131"/>
      <c r="AQ791" s="131"/>
      <c r="AR791" s="131"/>
      <c r="AS791" s="131"/>
      <c r="AT791" s="131"/>
      <c r="AU791" s="131"/>
      <c r="AV791" s="131"/>
      <c r="AW791" s="131"/>
      <c r="AX791" s="131"/>
      <c r="AY791" s="131"/>
      <c r="AZ791" s="131"/>
      <c r="BA791" s="131"/>
      <c r="BB791" s="131"/>
      <c r="BC791" s="131"/>
      <c r="BD791" s="131"/>
      <c r="BE791" s="131"/>
      <c r="BF791" s="131"/>
      <c r="BG791" s="131"/>
      <c r="BH791" s="131"/>
      <c r="BI791" s="131"/>
      <c r="BJ791" s="131"/>
      <c r="BK791" s="131"/>
      <c r="BL791" s="131"/>
      <c r="BM791" s="131"/>
      <c r="BN791" s="131"/>
      <c r="BO791" s="131"/>
      <c r="BP791" s="131"/>
      <c r="BQ791" s="131"/>
      <c r="BR791" s="131"/>
      <c r="BS791" s="131"/>
      <c r="BT791" s="131"/>
      <c r="BU791" s="131"/>
      <c r="BV791" s="131"/>
      <c r="BW791" s="131"/>
      <c r="BX791" s="131"/>
      <c r="BY791" s="131"/>
      <c r="BZ791" s="131"/>
      <c r="CA791" s="131"/>
      <c r="CB791" s="131"/>
      <c r="CC791" s="131"/>
      <c r="CD791" s="131"/>
      <c r="CE791" s="131"/>
      <c r="CF791" s="131"/>
      <c r="CG791" s="131"/>
      <c r="CH791" s="131"/>
      <c r="CI791" s="131"/>
      <c r="CJ791" s="131"/>
      <c r="CK791" s="131"/>
      <c r="CL791" s="131"/>
      <c r="CM791" s="131"/>
      <c r="CN791" s="131"/>
      <c r="CO791" s="131"/>
      <c r="CP791" s="131"/>
      <c r="CQ791" s="131"/>
    </row>
    <row r="792" spans="1:95" ht="15" hidden="1" x14ac:dyDescent="0.25">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c r="AN792" s="131"/>
      <c r="AO792" s="131"/>
      <c r="AP792" s="131"/>
      <c r="AQ792" s="131"/>
      <c r="AR792" s="131"/>
      <c r="AS792" s="131"/>
      <c r="AT792" s="131"/>
      <c r="AU792" s="131"/>
      <c r="AV792" s="131"/>
      <c r="AW792" s="131"/>
      <c r="AX792" s="131"/>
      <c r="AY792" s="131"/>
      <c r="AZ792" s="131"/>
      <c r="BA792" s="131"/>
      <c r="BB792" s="131"/>
      <c r="BC792" s="131"/>
      <c r="BD792" s="131"/>
      <c r="BE792" s="131"/>
      <c r="BF792" s="131"/>
      <c r="BG792" s="131"/>
      <c r="BH792" s="131"/>
      <c r="BI792" s="131"/>
      <c r="BJ792" s="131"/>
      <c r="BK792" s="131"/>
      <c r="BL792" s="131"/>
      <c r="BM792" s="131"/>
      <c r="BN792" s="131"/>
      <c r="BO792" s="131"/>
      <c r="BP792" s="131"/>
      <c r="BQ792" s="131"/>
      <c r="BR792" s="131"/>
      <c r="BS792" s="131"/>
      <c r="BT792" s="131"/>
      <c r="BU792" s="131"/>
      <c r="BV792" s="131"/>
      <c r="BW792" s="131"/>
      <c r="BX792" s="131"/>
      <c r="BY792" s="131"/>
      <c r="BZ792" s="131"/>
      <c r="CA792" s="131"/>
      <c r="CB792" s="131"/>
      <c r="CC792" s="131"/>
      <c r="CD792" s="131"/>
      <c r="CE792" s="131"/>
      <c r="CF792" s="131"/>
      <c r="CG792" s="131"/>
      <c r="CH792" s="131"/>
      <c r="CI792" s="131"/>
      <c r="CJ792" s="131"/>
      <c r="CK792" s="131"/>
      <c r="CL792" s="131"/>
      <c r="CM792" s="131"/>
      <c r="CN792" s="131"/>
      <c r="CO792" s="131"/>
      <c r="CP792" s="131"/>
      <c r="CQ792" s="131"/>
    </row>
    <row r="793" spans="1:95" ht="15" hidden="1" x14ac:dyDescent="0.25">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1"/>
      <c r="AH793" s="131"/>
      <c r="AI793" s="131"/>
      <c r="AJ793" s="131"/>
      <c r="AK793" s="131"/>
      <c r="AL793" s="131"/>
      <c r="AM793" s="131"/>
      <c r="AN793" s="131"/>
      <c r="AO793" s="131"/>
      <c r="AP793" s="131"/>
      <c r="AQ793" s="131"/>
      <c r="AR793" s="131"/>
      <c r="AS793" s="131"/>
      <c r="AT793" s="131"/>
      <c r="AU793" s="131"/>
      <c r="AV793" s="131"/>
      <c r="AW793" s="131"/>
      <c r="AX793" s="131"/>
      <c r="AY793" s="131"/>
      <c r="AZ793" s="131"/>
      <c r="BA793" s="131"/>
      <c r="BB793" s="131"/>
      <c r="BC793" s="131"/>
      <c r="BD793" s="131"/>
      <c r="BE793" s="131"/>
      <c r="BF793" s="131"/>
      <c r="BG793" s="131"/>
      <c r="BH793" s="131"/>
      <c r="BI793" s="131"/>
      <c r="BJ793" s="131"/>
      <c r="BK793" s="131"/>
      <c r="BL793" s="131"/>
      <c r="BM793" s="131"/>
      <c r="BN793" s="131"/>
      <c r="BO793" s="131"/>
      <c r="BP793" s="131"/>
      <c r="BQ793" s="131"/>
      <c r="BR793" s="131"/>
      <c r="BS793" s="131"/>
      <c r="BT793" s="131"/>
      <c r="BU793" s="131"/>
      <c r="BV793" s="131"/>
      <c r="BW793" s="131"/>
      <c r="BX793" s="131"/>
      <c r="BY793" s="131"/>
      <c r="BZ793" s="131"/>
      <c r="CA793" s="131"/>
      <c r="CB793" s="131"/>
      <c r="CC793" s="131"/>
      <c r="CD793" s="131"/>
      <c r="CE793" s="131"/>
      <c r="CF793" s="131"/>
      <c r="CG793" s="131"/>
      <c r="CH793" s="131"/>
      <c r="CI793" s="131"/>
      <c r="CJ793" s="131"/>
      <c r="CK793" s="131"/>
      <c r="CL793" s="131"/>
      <c r="CM793" s="131"/>
      <c r="CN793" s="131"/>
      <c r="CO793" s="131"/>
      <c r="CP793" s="131"/>
      <c r="CQ793" s="131"/>
    </row>
    <row r="794" spans="1:95" ht="15" hidden="1" x14ac:dyDescent="0.25">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c r="AA794" s="131"/>
      <c r="AB794" s="131"/>
      <c r="AC794" s="131"/>
      <c r="AD794" s="131"/>
      <c r="AE794" s="131"/>
      <c r="AF794" s="131"/>
      <c r="AG794" s="131"/>
      <c r="AH794" s="131"/>
      <c r="AI794" s="131"/>
      <c r="AJ794" s="131"/>
      <c r="AK794" s="131"/>
      <c r="AL794" s="131"/>
      <c r="AM794" s="131"/>
      <c r="AN794" s="131"/>
      <c r="AO794" s="131"/>
      <c r="AP794" s="131"/>
      <c r="AQ794" s="131"/>
      <c r="AR794" s="131"/>
      <c r="AS794" s="131"/>
      <c r="AT794" s="131"/>
      <c r="AU794" s="131"/>
      <c r="AV794" s="131"/>
      <c r="AW794" s="131"/>
      <c r="AX794" s="131"/>
      <c r="AY794" s="131"/>
      <c r="AZ794" s="131"/>
      <c r="BA794" s="131"/>
      <c r="BB794" s="131"/>
      <c r="BC794" s="131"/>
      <c r="BD794" s="131"/>
      <c r="BE794" s="131"/>
      <c r="BF794" s="131"/>
      <c r="BG794" s="131"/>
      <c r="BH794" s="131"/>
      <c r="BI794" s="131"/>
      <c r="BJ794" s="131"/>
      <c r="BK794" s="131"/>
      <c r="BL794" s="131"/>
      <c r="BM794" s="131"/>
      <c r="BN794" s="131"/>
      <c r="BO794" s="131"/>
      <c r="BP794" s="131"/>
      <c r="BQ794" s="131"/>
      <c r="BR794" s="131"/>
      <c r="BS794" s="131"/>
      <c r="BT794" s="131"/>
      <c r="BU794" s="131"/>
      <c r="BV794" s="131"/>
      <c r="BW794" s="131"/>
      <c r="BX794" s="131"/>
      <c r="BY794" s="131"/>
      <c r="BZ794" s="131"/>
      <c r="CA794" s="131"/>
      <c r="CB794" s="131"/>
      <c r="CC794" s="131"/>
      <c r="CD794" s="131"/>
      <c r="CE794" s="131"/>
      <c r="CF794" s="131"/>
      <c r="CG794" s="131"/>
      <c r="CH794" s="131"/>
      <c r="CI794" s="131"/>
      <c r="CJ794" s="131"/>
      <c r="CK794" s="131"/>
      <c r="CL794" s="131"/>
      <c r="CM794" s="131"/>
      <c r="CN794" s="131"/>
      <c r="CO794" s="131"/>
      <c r="CP794" s="131"/>
      <c r="CQ794" s="131"/>
    </row>
    <row r="795" spans="1:95" ht="15" hidden="1" x14ac:dyDescent="0.25">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c r="AA795" s="131"/>
      <c r="AB795" s="131"/>
      <c r="AC795" s="131"/>
      <c r="AD795" s="131"/>
      <c r="AE795" s="131"/>
      <c r="AF795" s="131"/>
      <c r="AG795" s="131"/>
      <c r="AH795" s="131"/>
      <c r="AI795" s="131"/>
      <c r="AJ795" s="131"/>
      <c r="AK795" s="131"/>
      <c r="AL795" s="131"/>
      <c r="AM795" s="131"/>
      <c r="AN795" s="131"/>
      <c r="AO795" s="131"/>
      <c r="AP795" s="131"/>
      <c r="AQ795" s="131"/>
      <c r="AR795" s="131"/>
      <c r="AS795" s="131"/>
      <c r="AT795" s="131"/>
      <c r="AU795" s="131"/>
      <c r="AV795" s="131"/>
      <c r="AW795" s="131"/>
      <c r="AX795" s="131"/>
      <c r="AY795" s="131"/>
      <c r="AZ795" s="131"/>
      <c r="BA795" s="131"/>
      <c r="BB795" s="131"/>
      <c r="BC795" s="131"/>
      <c r="BD795" s="131"/>
      <c r="BE795" s="131"/>
      <c r="BF795" s="131"/>
      <c r="BG795" s="131"/>
      <c r="BH795" s="131"/>
      <c r="BI795" s="131"/>
      <c r="BJ795" s="131"/>
      <c r="BK795" s="131"/>
      <c r="BL795" s="131"/>
      <c r="BM795" s="131"/>
      <c r="BN795" s="131"/>
      <c r="BO795" s="131"/>
      <c r="BP795" s="131"/>
      <c r="BQ795" s="131"/>
      <c r="BR795" s="131"/>
      <c r="BS795" s="131"/>
      <c r="BT795" s="131"/>
      <c r="BU795" s="131"/>
      <c r="BV795" s="131"/>
      <c r="BW795" s="131"/>
      <c r="BX795" s="131"/>
      <c r="BY795" s="131"/>
      <c r="BZ795" s="131"/>
      <c r="CA795" s="131"/>
      <c r="CB795" s="131"/>
      <c r="CC795" s="131"/>
      <c r="CD795" s="131"/>
      <c r="CE795" s="131"/>
      <c r="CF795" s="131"/>
      <c r="CG795" s="131"/>
      <c r="CH795" s="131"/>
      <c r="CI795" s="131"/>
      <c r="CJ795" s="131"/>
      <c r="CK795" s="131"/>
      <c r="CL795" s="131"/>
      <c r="CM795" s="131"/>
      <c r="CN795" s="131"/>
      <c r="CO795" s="131"/>
      <c r="CP795" s="131"/>
      <c r="CQ795" s="131"/>
    </row>
    <row r="796" spans="1:95" ht="15" hidden="1" x14ac:dyDescent="0.25">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c r="AA796" s="131"/>
      <c r="AB796" s="131"/>
      <c r="AC796" s="131"/>
      <c r="AD796" s="131"/>
      <c r="AE796" s="131"/>
      <c r="AF796" s="131"/>
      <c r="AG796" s="131"/>
      <c r="AH796" s="131"/>
      <c r="AI796" s="131"/>
      <c r="AJ796" s="131"/>
      <c r="AK796" s="131"/>
      <c r="AL796" s="131"/>
      <c r="AM796" s="131"/>
      <c r="AN796" s="131"/>
      <c r="AO796" s="131"/>
      <c r="AP796" s="131"/>
      <c r="AQ796" s="131"/>
      <c r="AR796" s="131"/>
      <c r="AS796" s="131"/>
      <c r="AT796" s="131"/>
      <c r="AU796" s="131"/>
      <c r="AV796" s="131"/>
      <c r="AW796" s="131"/>
      <c r="AX796" s="131"/>
      <c r="AY796" s="131"/>
      <c r="AZ796" s="131"/>
      <c r="BA796" s="131"/>
      <c r="BB796" s="131"/>
      <c r="BC796" s="131"/>
      <c r="BD796" s="131"/>
      <c r="BE796" s="131"/>
      <c r="BF796" s="131"/>
      <c r="BG796" s="131"/>
      <c r="BH796" s="131"/>
      <c r="BI796" s="131"/>
      <c r="BJ796" s="131"/>
      <c r="BK796" s="131"/>
      <c r="BL796" s="131"/>
      <c r="BM796" s="131"/>
      <c r="BN796" s="131"/>
      <c r="BO796" s="131"/>
      <c r="BP796" s="131"/>
      <c r="BQ796" s="131"/>
      <c r="BR796" s="131"/>
      <c r="BS796" s="131"/>
      <c r="BT796" s="131"/>
      <c r="BU796" s="131"/>
      <c r="BV796" s="131"/>
      <c r="BW796" s="131"/>
      <c r="BX796" s="131"/>
      <c r="BY796" s="131"/>
      <c r="BZ796" s="131"/>
      <c r="CA796" s="131"/>
      <c r="CB796" s="131"/>
      <c r="CC796" s="131"/>
      <c r="CD796" s="131"/>
      <c r="CE796" s="131"/>
      <c r="CF796" s="131"/>
      <c r="CG796" s="131"/>
      <c r="CH796" s="131"/>
      <c r="CI796" s="131"/>
      <c r="CJ796" s="131"/>
      <c r="CK796" s="131"/>
      <c r="CL796" s="131"/>
      <c r="CM796" s="131"/>
      <c r="CN796" s="131"/>
      <c r="CO796" s="131"/>
      <c r="CP796" s="131"/>
      <c r="CQ796" s="131"/>
    </row>
    <row r="797" spans="1:95" ht="15" hidden="1" x14ac:dyDescent="0.25">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c r="AA797" s="131"/>
      <c r="AB797" s="131"/>
      <c r="AC797" s="131"/>
      <c r="AD797" s="131"/>
      <c r="AE797" s="131"/>
      <c r="AF797" s="131"/>
      <c r="AG797" s="131"/>
      <c r="AH797" s="131"/>
      <c r="AI797" s="131"/>
      <c r="AJ797" s="131"/>
      <c r="AK797" s="131"/>
      <c r="AL797" s="131"/>
      <c r="AM797" s="131"/>
      <c r="AN797" s="131"/>
      <c r="AO797" s="131"/>
      <c r="AP797" s="131"/>
      <c r="AQ797" s="131"/>
      <c r="AR797" s="131"/>
      <c r="AS797" s="131"/>
      <c r="AT797" s="131"/>
      <c r="AU797" s="131"/>
      <c r="AV797" s="131"/>
      <c r="AW797" s="131"/>
      <c r="AX797" s="131"/>
      <c r="AY797" s="131"/>
      <c r="AZ797" s="131"/>
      <c r="BA797" s="131"/>
      <c r="BB797" s="131"/>
      <c r="BC797" s="131"/>
      <c r="BD797" s="131"/>
      <c r="BE797" s="131"/>
      <c r="BF797" s="131"/>
      <c r="BG797" s="131"/>
      <c r="BH797" s="131"/>
      <c r="BI797" s="131"/>
      <c r="BJ797" s="131"/>
      <c r="BK797" s="131"/>
      <c r="BL797" s="131"/>
      <c r="BM797" s="131"/>
      <c r="BN797" s="131"/>
      <c r="BO797" s="131"/>
      <c r="BP797" s="131"/>
      <c r="BQ797" s="131"/>
      <c r="BR797" s="131"/>
      <c r="BS797" s="131"/>
      <c r="BT797" s="131"/>
      <c r="BU797" s="131"/>
      <c r="BV797" s="131"/>
      <c r="BW797" s="131"/>
      <c r="BX797" s="131"/>
      <c r="BY797" s="131"/>
      <c r="BZ797" s="131"/>
      <c r="CA797" s="131"/>
      <c r="CB797" s="131"/>
      <c r="CC797" s="131"/>
      <c r="CD797" s="131"/>
      <c r="CE797" s="131"/>
      <c r="CF797" s="131"/>
      <c r="CG797" s="131"/>
      <c r="CH797" s="131"/>
      <c r="CI797" s="131"/>
      <c r="CJ797" s="131"/>
      <c r="CK797" s="131"/>
      <c r="CL797" s="131"/>
      <c r="CM797" s="131"/>
      <c r="CN797" s="131"/>
      <c r="CO797" s="131"/>
      <c r="CP797" s="131"/>
      <c r="CQ797" s="131"/>
    </row>
    <row r="798" spans="1:95" ht="15" hidden="1" x14ac:dyDescent="0.25">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c r="AA798" s="131"/>
      <c r="AB798" s="131"/>
      <c r="AC798" s="131"/>
      <c r="AD798" s="131"/>
      <c r="AE798" s="131"/>
      <c r="AF798" s="131"/>
      <c r="AG798" s="131"/>
      <c r="AH798" s="131"/>
      <c r="AI798" s="131"/>
      <c r="AJ798" s="131"/>
      <c r="AK798" s="131"/>
      <c r="AL798" s="131"/>
      <c r="AM798" s="131"/>
      <c r="AN798" s="131"/>
      <c r="AO798" s="131"/>
      <c r="AP798" s="131"/>
      <c r="AQ798" s="131"/>
      <c r="AR798" s="131"/>
      <c r="AS798" s="131"/>
      <c r="AT798" s="131"/>
      <c r="AU798" s="131"/>
      <c r="AV798" s="131"/>
      <c r="AW798" s="131"/>
      <c r="AX798" s="131"/>
      <c r="AY798" s="131"/>
      <c r="AZ798" s="131"/>
      <c r="BA798" s="131"/>
      <c r="BB798" s="131"/>
      <c r="BC798" s="131"/>
      <c r="BD798" s="131"/>
      <c r="BE798" s="131"/>
      <c r="BF798" s="131"/>
      <c r="BG798" s="131"/>
      <c r="BH798" s="131"/>
      <c r="BI798" s="131"/>
      <c r="BJ798" s="131"/>
      <c r="BK798" s="131"/>
      <c r="BL798" s="131"/>
      <c r="BM798" s="131"/>
      <c r="BN798" s="131"/>
      <c r="BO798" s="131"/>
      <c r="BP798" s="131"/>
      <c r="BQ798" s="131"/>
      <c r="BR798" s="131"/>
      <c r="BS798" s="131"/>
      <c r="BT798" s="131"/>
      <c r="BU798" s="131"/>
      <c r="BV798" s="131"/>
      <c r="BW798" s="131"/>
      <c r="BX798" s="131"/>
      <c r="BY798" s="131"/>
      <c r="BZ798" s="131"/>
      <c r="CA798" s="131"/>
      <c r="CB798" s="131"/>
      <c r="CC798" s="131"/>
      <c r="CD798" s="131"/>
      <c r="CE798" s="131"/>
      <c r="CF798" s="131"/>
      <c r="CG798" s="131"/>
      <c r="CH798" s="131"/>
      <c r="CI798" s="131"/>
      <c r="CJ798" s="131"/>
      <c r="CK798" s="131"/>
      <c r="CL798" s="131"/>
      <c r="CM798" s="131"/>
      <c r="CN798" s="131"/>
      <c r="CO798" s="131"/>
      <c r="CP798" s="131"/>
      <c r="CQ798" s="131"/>
    </row>
    <row r="799" spans="1:95" ht="15" hidden="1" x14ac:dyDescent="0.25">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c r="AA799" s="131"/>
      <c r="AB799" s="131"/>
      <c r="AC799" s="131"/>
      <c r="AD799" s="131"/>
      <c r="AE799" s="131"/>
      <c r="AF799" s="131"/>
      <c r="AG799" s="131"/>
      <c r="AH799" s="131"/>
      <c r="AI799" s="131"/>
      <c r="AJ799" s="131"/>
      <c r="AK799" s="131"/>
      <c r="AL799" s="131"/>
      <c r="AM799" s="131"/>
      <c r="AN799" s="131"/>
      <c r="AO799" s="131"/>
      <c r="AP799" s="131"/>
      <c r="AQ799" s="131"/>
      <c r="AR799" s="131"/>
      <c r="AS799" s="131"/>
      <c r="AT799" s="131"/>
      <c r="AU799" s="131"/>
      <c r="AV799" s="131"/>
      <c r="AW799" s="131"/>
      <c r="AX799" s="131"/>
      <c r="AY799" s="131"/>
      <c r="AZ799" s="131"/>
      <c r="BA799" s="131"/>
      <c r="BB799" s="131"/>
      <c r="BC799" s="131"/>
      <c r="BD799" s="131"/>
      <c r="BE799" s="131"/>
      <c r="BF799" s="131"/>
      <c r="BG799" s="131"/>
      <c r="BH799" s="131"/>
      <c r="BI799" s="131"/>
      <c r="BJ799" s="131"/>
      <c r="BK799" s="131"/>
      <c r="BL799" s="131"/>
      <c r="BM799" s="131"/>
      <c r="BN799" s="131"/>
      <c r="BO799" s="131"/>
      <c r="BP799" s="131"/>
      <c r="BQ799" s="131"/>
      <c r="BR799" s="131"/>
      <c r="BS799" s="131"/>
      <c r="BT799" s="131"/>
      <c r="BU799" s="131"/>
      <c r="BV799" s="131"/>
      <c r="BW799" s="131"/>
      <c r="BX799" s="131"/>
      <c r="BY799" s="131"/>
      <c r="BZ799" s="131"/>
      <c r="CA799" s="131"/>
      <c r="CB799" s="131"/>
      <c r="CC799" s="131"/>
      <c r="CD799" s="131"/>
      <c r="CE799" s="131"/>
      <c r="CF799" s="131"/>
      <c r="CG799" s="131"/>
      <c r="CH799" s="131"/>
      <c r="CI799" s="131"/>
      <c r="CJ799" s="131"/>
      <c r="CK799" s="131"/>
      <c r="CL799" s="131"/>
      <c r="CM799" s="131"/>
      <c r="CN799" s="131"/>
      <c r="CO799" s="131"/>
      <c r="CP799" s="131"/>
      <c r="CQ799" s="131"/>
    </row>
    <row r="800" spans="1:95" ht="15" hidden="1" x14ac:dyDescent="0.25">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c r="AA800" s="131"/>
      <c r="AB800" s="131"/>
      <c r="AC800" s="131"/>
      <c r="AD800" s="131"/>
      <c r="AE800" s="131"/>
      <c r="AF800" s="131"/>
      <c r="AG800" s="131"/>
      <c r="AH800" s="131"/>
      <c r="AI800" s="131"/>
      <c r="AJ800" s="131"/>
      <c r="AK800" s="131"/>
      <c r="AL800" s="131"/>
      <c r="AM800" s="131"/>
      <c r="AN800" s="131"/>
      <c r="AO800" s="131"/>
      <c r="AP800" s="131"/>
      <c r="AQ800" s="131"/>
      <c r="AR800" s="131"/>
      <c r="AS800" s="131"/>
      <c r="AT800" s="131"/>
      <c r="AU800" s="131"/>
      <c r="AV800" s="131"/>
      <c r="AW800" s="131"/>
      <c r="AX800" s="131"/>
      <c r="AY800" s="131"/>
      <c r="AZ800" s="131"/>
      <c r="BA800" s="131"/>
      <c r="BB800" s="131"/>
      <c r="BC800" s="131"/>
      <c r="BD800" s="131"/>
      <c r="BE800" s="131"/>
      <c r="BF800" s="131"/>
      <c r="BG800" s="131"/>
      <c r="BH800" s="131"/>
      <c r="BI800" s="131"/>
      <c r="BJ800" s="131"/>
      <c r="BK800" s="131"/>
      <c r="BL800" s="131"/>
      <c r="BM800" s="131"/>
      <c r="BN800" s="131"/>
      <c r="BO800" s="131"/>
      <c r="BP800" s="131"/>
      <c r="BQ800" s="131"/>
      <c r="BR800" s="131"/>
      <c r="BS800" s="131"/>
      <c r="BT800" s="131"/>
      <c r="BU800" s="131"/>
      <c r="BV800" s="131"/>
      <c r="BW800" s="131"/>
      <c r="BX800" s="131"/>
      <c r="BY800" s="131"/>
      <c r="BZ800" s="131"/>
      <c r="CA800" s="131"/>
      <c r="CB800" s="131"/>
      <c r="CC800" s="131"/>
      <c r="CD800" s="131"/>
      <c r="CE800" s="131"/>
      <c r="CF800" s="131"/>
      <c r="CG800" s="131"/>
      <c r="CH800" s="131"/>
      <c r="CI800" s="131"/>
      <c r="CJ800" s="131"/>
      <c r="CK800" s="131"/>
      <c r="CL800" s="131"/>
      <c r="CM800" s="131"/>
      <c r="CN800" s="131"/>
      <c r="CO800" s="131"/>
      <c r="CP800" s="131"/>
      <c r="CQ800" s="131"/>
    </row>
    <row r="801" spans="1:95" ht="15" hidden="1" x14ac:dyDescent="0.25">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c r="AA801" s="131"/>
      <c r="AB801" s="131"/>
      <c r="AC801" s="131"/>
      <c r="AD801" s="131"/>
      <c r="AE801" s="131"/>
      <c r="AF801" s="131"/>
      <c r="AG801" s="131"/>
      <c r="AH801" s="131"/>
      <c r="AI801" s="131"/>
      <c r="AJ801" s="131"/>
      <c r="AK801" s="131"/>
      <c r="AL801" s="131"/>
      <c r="AM801" s="131"/>
      <c r="AN801" s="131"/>
      <c r="AO801" s="131"/>
      <c r="AP801" s="131"/>
      <c r="AQ801" s="131"/>
      <c r="AR801" s="131"/>
      <c r="AS801" s="131"/>
      <c r="AT801" s="131"/>
      <c r="AU801" s="131"/>
      <c r="AV801" s="131"/>
      <c r="AW801" s="131"/>
      <c r="AX801" s="131"/>
      <c r="AY801" s="131"/>
      <c r="AZ801" s="131"/>
      <c r="BA801" s="131"/>
      <c r="BB801" s="131"/>
      <c r="BC801" s="131"/>
      <c r="BD801" s="131"/>
      <c r="BE801" s="131"/>
      <c r="BF801" s="131"/>
      <c r="BG801" s="131"/>
      <c r="BH801" s="131"/>
      <c r="BI801" s="131"/>
      <c r="BJ801" s="131"/>
      <c r="BK801" s="131"/>
      <c r="BL801" s="131"/>
      <c r="BM801" s="131"/>
      <c r="BN801" s="131"/>
      <c r="BO801" s="131"/>
      <c r="BP801" s="131"/>
      <c r="BQ801" s="131"/>
      <c r="BR801" s="131"/>
      <c r="BS801" s="131"/>
      <c r="BT801" s="131"/>
      <c r="BU801" s="131"/>
      <c r="BV801" s="131"/>
      <c r="BW801" s="131"/>
      <c r="BX801" s="131"/>
      <c r="BY801" s="131"/>
      <c r="BZ801" s="131"/>
      <c r="CA801" s="131"/>
      <c r="CB801" s="131"/>
      <c r="CC801" s="131"/>
      <c r="CD801" s="131"/>
      <c r="CE801" s="131"/>
      <c r="CF801" s="131"/>
      <c r="CG801" s="131"/>
      <c r="CH801" s="131"/>
      <c r="CI801" s="131"/>
      <c r="CJ801" s="131"/>
      <c r="CK801" s="131"/>
      <c r="CL801" s="131"/>
      <c r="CM801" s="131"/>
      <c r="CN801" s="131"/>
      <c r="CO801" s="131"/>
      <c r="CP801" s="131"/>
      <c r="CQ801" s="131"/>
    </row>
    <row r="802" spans="1:95" ht="15" hidden="1" x14ac:dyDescent="0.25">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c r="AA802" s="131"/>
      <c r="AB802" s="131"/>
      <c r="AC802" s="131"/>
      <c r="AD802" s="131"/>
      <c r="AE802" s="131"/>
      <c r="AF802" s="131"/>
      <c r="AG802" s="131"/>
      <c r="AH802" s="131"/>
      <c r="AI802" s="131"/>
      <c r="AJ802" s="131"/>
      <c r="AK802" s="131"/>
      <c r="AL802" s="131"/>
      <c r="AM802" s="131"/>
      <c r="AN802" s="131"/>
      <c r="AO802" s="131"/>
      <c r="AP802" s="131"/>
      <c r="AQ802" s="131"/>
      <c r="AR802" s="131"/>
      <c r="AS802" s="131"/>
      <c r="AT802" s="131"/>
      <c r="AU802" s="131"/>
      <c r="AV802" s="131"/>
      <c r="AW802" s="131"/>
      <c r="AX802" s="131"/>
      <c r="AY802" s="131"/>
      <c r="AZ802" s="131"/>
      <c r="BA802" s="131"/>
      <c r="BB802" s="131"/>
      <c r="BC802" s="131"/>
      <c r="BD802" s="131"/>
      <c r="BE802" s="131"/>
      <c r="BF802" s="131"/>
      <c r="BG802" s="131"/>
      <c r="BH802" s="131"/>
      <c r="BI802" s="131"/>
      <c r="BJ802" s="131"/>
      <c r="BK802" s="131"/>
      <c r="BL802" s="131"/>
      <c r="BM802" s="131"/>
      <c r="BN802" s="131"/>
      <c r="BO802" s="131"/>
      <c r="BP802" s="131"/>
      <c r="BQ802" s="131"/>
      <c r="BR802" s="131"/>
      <c r="BS802" s="131"/>
      <c r="BT802" s="131"/>
      <c r="BU802" s="131"/>
      <c r="BV802" s="131"/>
      <c r="BW802" s="131"/>
      <c r="BX802" s="131"/>
      <c r="BY802" s="131"/>
      <c r="BZ802" s="131"/>
      <c r="CA802" s="131"/>
      <c r="CB802" s="131"/>
      <c r="CC802" s="131"/>
      <c r="CD802" s="131"/>
      <c r="CE802" s="131"/>
      <c r="CF802" s="131"/>
      <c r="CG802" s="131"/>
      <c r="CH802" s="131"/>
      <c r="CI802" s="131"/>
      <c r="CJ802" s="131"/>
      <c r="CK802" s="131"/>
      <c r="CL802" s="131"/>
      <c r="CM802" s="131"/>
      <c r="CN802" s="131"/>
      <c r="CO802" s="131"/>
      <c r="CP802" s="131"/>
      <c r="CQ802" s="131"/>
    </row>
    <row r="803" spans="1:95" ht="15" hidden="1" x14ac:dyDescent="0.25">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c r="AA803" s="131"/>
      <c r="AB803" s="131"/>
      <c r="AC803" s="131"/>
      <c r="AD803" s="131"/>
      <c r="AE803" s="131"/>
      <c r="AF803" s="131"/>
      <c r="AG803" s="131"/>
      <c r="AH803" s="131"/>
      <c r="AI803" s="131"/>
      <c r="AJ803" s="131"/>
      <c r="AK803" s="131"/>
      <c r="AL803" s="131"/>
      <c r="AM803" s="131"/>
      <c r="AN803" s="131"/>
      <c r="AO803" s="131"/>
      <c r="AP803" s="131"/>
      <c r="AQ803" s="131"/>
      <c r="AR803" s="131"/>
      <c r="AS803" s="131"/>
      <c r="AT803" s="131"/>
      <c r="AU803" s="131"/>
      <c r="AV803" s="131"/>
      <c r="AW803" s="131"/>
      <c r="AX803" s="131"/>
      <c r="AY803" s="131"/>
      <c r="AZ803" s="131"/>
      <c r="BA803" s="131"/>
      <c r="BB803" s="131"/>
      <c r="BC803" s="131"/>
      <c r="BD803" s="131"/>
      <c r="BE803" s="131"/>
      <c r="BF803" s="131"/>
      <c r="BG803" s="131"/>
      <c r="BH803" s="131"/>
      <c r="BI803" s="131"/>
      <c r="BJ803" s="131"/>
      <c r="BK803" s="131"/>
      <c r="BL803" s="131"/>
      <c r="BM803" s="131"/>
      <c r="BN803" s="131"/>
      <c r="BO803" s="131"/>
      <c r="BP803" s="131"/>
      <c r="BQ803" s="131"/>
      <c r="BR803" s="131"/>
      <c r="BS803" s="131"/>
      <c r="BT803" s="131"/>
      <c r="BU803" s="131"/>
      <c r="BV803" s="131"/>
      <c r="BW803" s="131"/>
      <c r="BX803" s="131"/>
      <c r="BY803" s="131"/>
      <c r="BZ803" s="131"/>
      <c r="CA803" s="131"/>
      <c r="CB803" s="131"/>
      <c r="CC803" s="131"/>
      <c r="CD803" s="131"/>
      <c r="CE803" s="131"/>
      <c r="CF803" s="131"/>
      <c r="CG803" s="131"/>
      <c r="CH803" s="131"/>
      <c r="CI803" s="131"/>
      <c r="CJ803" s="131"/>
      <c r="CK803" s="131"/>
      <c r="CL803" s="131"/>
      <c r="CM803" s="131"/>
      <c r="CN803" s="131"/>
      <c r="CO803" s="131"/>
      <c r="CP803" s="131"/>
      <c r="CQ803" s="131"/>
    </row>
    <row r="804" spans="1:95" ht="15" hidden="1" x14ac:dyDescent="0.25">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c r="AA804" s="131"/>
      <c r="AB804" s="131"/>
      <c r="AC804" s="131"/>
      <c r="AD804" s="131"/>
      <c r="AE804" s="131"/>
      <c r="AF804" s="131"/>
      <c r="AG804" s="131"/>
      <c r="AH804" s="131"/>
      <c r="AI804" s="131"/>
      <c r="AJ804" s="131"/>
      <c r="AK804" s="131"/>
      <c r="AL804" s="131"/>
      <c r="AM804" s="131"/>
      <c r="AN804" s="131"/>
      <c r="AO804" s="131"/>
      <c r="AP804" s="131"/>
      <c r="AQ804" s="131"/>
      <c r="AR804" s="131"/>
      <c r="AS804" s="131"/>
      <c r="AT804" s="131"/>
      <c r="AU804" s="131"/>
      <c r="AV804" s="131"/>
      <c r="AW804" s="131"/>
      <c r="AX804" s="131"/>
      <c r="AY804" s="131"/>
      <c r="AZ804" s="131"/>
      <c r="BA804" s="131"/>
      <c r="BB804" s="131"/>
      <c r="BC804" s="131"/>
      <c r="BD804" s="131"/>
      <c r="BE804" s="131"/>
      <c r="BF804" s="131"/>
      <c r="BG804" s="131"/>
      <c r="BH804" s="131"/>
      <c r="BI804" s="131"/>
      <c r="BJ804" s="131"/>
      <c r="BK804" s="131"/>
      <c r="BL804" s="131"/>
      <c r="BM804" s="131"/>
      <c r="BN804" s="131"/>
      <c r="BO804" s="131"/>
      <c r="BP804" s="131"/>
      <c r="BQ804" s="131"/>
      <c r="BR804" s="131"/>
      <c r="BS804" s="131"/>
      <c r="BT804" s="131"/>
      <c r="BU804" s="131"/>
      <c r="BV804" s="131"/>
      <c r="BW804" s="131"/>
      <c r="BX804" s="131"/>
      <c r="BY804" s="131"/>
      <c r="BZ804" s="131"/>
      <c r="CA804" s="131"/>
      <c r="CB804" s="131"/>
      <c r="CC804" s="131"/>
      <c r="CD804" s="131"/>
      <c r="CE804" s="131"/>
      <c r="CF804" s="131"/>
      <c r="CG804" s="131"/>
      <c r="CH804" s="131"/>
      <c r="CI804" s="131"/>
      <c r="CJ804" s="131"/>
      <c r="CK804" s="131"/>
      <c r="CL804" s="131"/>
      <c r="CM804" s="131"/>
      <c r="CN804" s="131"/>
      <c r="CO804" s="131"/>
      <c r="CP804" s="131"/>
      <c r="CQ804" s="131"/>
    </row>
    <row r="805" spans="1:95" ht="15" hidden="1" x14ac:dyDescent="0.25">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c r="AA805" s="131"/>
      <c r="AB805" s="131"/>
      <c r="AC805" s="131"/>
      <c r="AD805" s="131"/>
      <c r="AE805" s="131"/>
      <c r="AF805" s="131"/>
      <c r="AG805" s="131"/>
      <c r="AH805" s="131"/>
      <c r="AI805" s="131"/>
      <c r="AJ805" s="131"/>
      <c r="AK805" s="131"/>
      <c r="AL805" s="131"/>
      <c r="AM805" s="131"/>
      <c r="AN805" s="131"/>
      <c r="AO805" s="131"/>
      <c r="AP805" s="131"/>
      <c r="AQ805" s="131"/>
      <c r="AR805" s="131"/>
      <c r="AS805" s="131"/>
      <c r="AT805" s="131"/>
      <c r="AU805" s="131"/>
      <c r="AV805" s="131"/>
      <c r="AW805" s="131"/>
      <c r="AX805" s="131"/>
      <c r="AY805" s="131"/>
      <c r="AZ805" s="131"/>
      <c r="BA805" s="131"/>
      <c r="BB805" s="131"/>
      <c r="BC805" s="131"/>
      <c r="BD805" s="131"/>
      <c r="BE805" s="131"/>
      <c r="BF805" s="131"/>
      <c r="BG805" s="131"/>
      <c r="BH805" s="131"/>
      <c r="BI805" s="131"/>
      <c r="BJ805" s="131"/>
      <c r="BK805" s="131"/>
      <c r="BL805" s="131"/>
      <c r="BM805" s="131"/>
      <c r="BN805" s="131"/>
      <c r="BO805" s="131"/>
      <c r="BP805" s="131"/>
      <c r="BQ805" s="131"/>
      <c r="BR805" s="131"/>
      <c r="BS805" s="131"/>
      <c r="BT805" s="131"/>
      <c r="BU805" s="131"/>
      <c r="BV805" s="131"/>
      <c r="BW805" s="131"/>
      <c r="BX805" s="131"/>
      <c r="BY805" s="131"/>
      <c r="BZ805" s="131"/>
      <c r="CA805" s="131"/>
      <c r="CB805" s="131"/>
      <c r="CC805" s="131"/>
      <c r="CD805" s="131"/>
      <c r="CE805" s="131"/>
      <c r="CF805" s="131"/>
      <c r="CG805" s="131"/>
      <c r="CH805" s="131"/>
      <c r="CI805" s="131"/>
      <c r="CJ805" s="131"/>
      <c r="CK805" s="131"/>
      <c r="CL805" s="131"/>
      <c r="CM805" s="131"/>
      <c r="CN805" s="131"/>
      <c r="CO805" s="131"/>
      <c r="CP805" s="131"/>
      <c r="CQ805" s="131"/>
    </row>
    <row r="806" spans="1:95" ht="15" hidden="1" x14ac:dyDescent="0.25">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c r="AA806" s="131"/>
      <c r="AB806" s="131"/>
      <c r="AC806" s="131"/>
      <c r="AD806" s="131"/>
      <c r="AE806" s="131"/>
      <c r="AF806" s="131"/>
      <c r="AG806" s="131"/>
      <c r="AH806" s="131"/>
      <c r="AI806" s="131"/>
      <c r="AJ806" s="131"/>
      <c r="AK806" s="131"/>
      <c r="AL806" s="131"/>
      <c r="AM806" s="131"/>
      <c r="AN806" s="131"/>
      <c r="AO806" s="131"/>
      <c r="AP806" s="131"/>
      <c r="AQ806" s="131"/>
      <c r="AR806" s="131"/>
      <c r="AS806" s="131"/>
      <c r="AT806" s="131"/>
      <c r="AU806" s="131"/>
      <c r="AV806" s="131"/>
      <c r="AW806" s="131"/>
      <c r="AX806" s="131"/>
      <c r="AY806" s="131"/>
      <c r="AZ806" s="131"/>
      <c r="BA806" s="131"/>
      <c r="BB806" s="131"/>
      <c r="BC806" s="131"/>
      <c r="BD806" s="131"/>
      <c r="BE806" s="131"/>
      <c r="BF806" s="131"/>
      <c r="BG806" s="131"/>
      <c r="BH806" s="131"/>
      <c r="BI806" s="131"/>
      <c r="BJ806" s="131"/>
      <c r="BK806" s="131"/>
      <c r="BL806" s="131"/>
      <c r="BM806" s="131"/>
      <c r="BN806" s="131"/>
      <c r="BO806" s="131"/>
      <c r="BP806" s="131"/>
      <c r="BQ806" s="131"/>
      <c r="BR806" s="131"/>
      <c r="BS806" s="131"/>
      <c r="BT806" s="131"/>
      <c r="BU806" s="131"/>
      <c r="BV806" s="131"/>
      <c r="BW806" s="131"/>
      <c r="BX806" s="131"/>
      <c r="BY806" s="131"/>
      <c r="BZ806" s="131"/>
      <c r="CA806" s="131"/>
      <c r="CB806" s="131"/>
      <c r="CC806" s="131"/>
      <c r="CD806" s="131"/>
      <c r="CE806" s="131"/>
      <c r="CF806" s="131"/>
      <c r="CG806" s="131"/>
      <c r="CH806" s="131"/>
      <c r="CI806" s="131"/>
      <c r="CJ806" s="131"/>
      <c r="CK806" s="131"/>
      <c r="CL806" s="131"/>
      <c r="CM806" s="131"/>
      <c r="CN806" s="131"/>
      <c r="CO806" s="131"/>
      <c r="CP806" s="131"/>
      <c r="CQ806" s="131"/>
    </row>
    <row r="807" spans="1:95" ht="15" hidden="1" x14ac:dyDescent="0.25">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c r="AA807" s="131"/>
      <c r="AB807" s="131"/>
      <c r="AC807" s="131"/>
      <c r="AD807" s="131"/>
      <c r="AE807" s="131"/>
      <c r="AF807" s="131"/>
      <c r="AG807" s="131"/>
      <c r="AH807" s="131"/>
      <c r="AI807" s="131"/>
      <c r="AJ807" s="131"/>
      <c r="AK807" s="131"/>
      <c r="AL807" s="131"/>
      <c r="AM807" s="131"/>
      <c r="AN807" s="131"/>
      <c r="AO807" s="131"/>
      <c r="AP807" s="131"/>
      <c r="AQ807" s="131"/>
      <c r="AR807" s="131"/>
      <c r="AS807" s="131"/>
      <c r="AT807" s="131"/>
      <c r="AU807" s="131"/>
      <c r="AV807" s="131"/>
      <c r="AW807" s="131"/>
      <c r="AX807" s="131"/>
      <c r="AY807" s="131"/>
      <c r="AZ807" s="131"/>
      <c r="BA807" s="131"/>
      <c r="BB807" s="131"/>
      <c r="BC807" s="131"/>
      <c r="BD807" s="131"/>
      <c r="BE807" s="131"/>
      <c r="BF807" s="131"/>
      <c r="BG807" s="131"/>
      <c r="BH807" s="131"/>
      <c r="BI807" s="131"/>
      <c r="BJ807" s="131"/>
      <c r="BK807" s="131"/>
      <c r="BL807" s="131"/>
      <c r="BM807" s="131"/>
      <c r="BN807" s="131"/>
      <c r="BO807" s="131"/>
      <c r="BP807" s="131"/>
      <c r="BQ807" s="131"/>
      <c r="BR807" s="131"/>
      <c r="BS807" s="131"/>
      <c r="BT807" s="131"/>
      <c r="BU807" s="131"/>
      <c r="BV807" s="131"/>
      <c r="BW807" s="131"/>
      <c r="BX807" s="131"/>
      <c r="BY807" s="131"/>
      <c r="BZ807" s="131"/>
      <c r="CA807" s="131"/>
      <c r="CB807" s="131"/>
      <c r="CC807" s="131"/>
      <c r="CD807" s="131"/>
      <c r="CE807" s="131"/>
      <c r="CF807" s="131"/>
      <c r="CG807" s="131"/>
      <c r="CH807" s="131"/>
      <c r="CI807" s="131"/>
      <c r="CJ807" s="131"/>
      <c r="CK807" s="131"/>
      <c r="CL807" s="131"/>
      <c r="CM807" s="131"/>
      <c r="CN807" s="131"/>
      <c r="CO807" s="131"/>
      <c r="CP807" s="131"/>
      <c r="CQ807" s="131"/>
    </row>
    <row r="808" spans="1:95" ht="15" hidden="1" x14ac:dyDescent="0.25">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c r="AA808" s="131"/>
      <c r="AB808" s="131"/>
      <c r="AC808" s="131"/>
      <c r="AD808" s="131"/>
      <c r="AE808" s="131"/>
      <c r="AF808" s="131"/>
      <c r="AG808" s="131"/>
      <c r="AH808" s="131"/>
      <c r="AI808" s="131"/>
      <c r="AJ808" s="131"/>
      <c r="AK808" s="131"/>
      <c r="AL808" s="131"/>
      <c r="AM808" s="131"/>
      <c r="AN808" s="131"/>
      <c r="AO808" s="131"/>
      <c r="AP808" s="131"/>
      <c r="AQ808" s="131"/>
      <c r="AR808" s="131"/>
      <c r="AS808" s="131"/>
      <c r="AT808" s="131"/>
      <c r="AU808" s="131"/>
      <c r="AV808" s="131"/>
      <c r="AW808" s="131"/>
      <c r="AX808" s="131"/>
      <c r="AY808" s="131"/>
      <c r="AZ808" s="131"/>
      <c r="BA808" s="131"/>
      <c r="BB808" s="131"/>
      <c r="BC808" s="131"/>
      <c r="BD808" s="131"/>
      <c r="BE808" s="131"/>
      <c r="BF808" s="131"/>
      <c r="BG808" s="131"/>
      <c r="BH808" s="131"/>
      <c r="BI808" s="131"/>
      <c r="BJ808" s="131"/>
      <c r="BK808" s="131"/>
      <c r="BL808" s="131"/>
      <c r="BM808" s="131"/>
      <c r="BN808" s="131"/>
      <c r="BO808" s="131"/>
      <c r="BP808" s="131"/>
      <c r="BQ808" s="131"/>
      <c r="BR808" s="131"/>
      <c r="BS808" s="131"/>
      <c r="BT808" s="131"/>
      <c r="BU808" s="131"/>
      <c r="BV808" s="131"/>
      <c r="BW808" s="131"/>
      <c r="BX808" s="131"/>
      <c r="BY808" s="131"/>
      <c r="BZ808" s="131"/>
      <c r="CA808" s="131"/>
      <c r="CB808" s="131"/>
      <c r="CC808" s="131"/>
      <c r="CD808" s="131"/>
      <c r="CE808" s="131"/>
      <c r="CF808" s="131"/>
      <c r="CG808" s="131"/>
      <c r="CH808" s="131"/>
      <c r="CI808" s="131"/>
      <c r="CJ808" s="131"/>
      <c r="CK808" s="131"/>
      <c r="CL808" s="131"/>
      <c r="CM808" s="131"/>
      <c r="CN808" s="131"/>
      <c r="CO808" s="131"/>
      <c r="CP808" s="131"/>
      <c r="CQ808" s="131"/>
    </row>
    <row r="809" spans="1:95" ht="15" hidden="1" x14ac:dyDescent="0.25">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c r="AA809" s="131"/>
      <c r="AB809" s="131"/>
      <c r="AC809" s="131"/>
      <c r="AD809" s="131"/>
      <c r="AE809" s="131"/>
      <c r="AF809" s="131"/>
      <c r="AG809" s="131"/>
      <c r="AH809" s="131"/>
      <c r="AI809" s="131"/>
      <c r="AJ809" s="131"/>
      <c r="AK809" s="131"/>
      <c r="AL809" s="131"/>
      <c r="AM809" s="131"/>
      <c r="AN809" s="131"/>
      <c r="AO809" s="131"/>
      <c r="AP809" s="131"/>
      <c r="AQ809" s="131"/>
      <c r="AR809" s="131"/>
      <c r="AS809" s="131"/>
      <c r="AT809" s="131"/>
      <c r="AU809" s="131"/>
      <c r="AV809" s="131"/>
      <c r="AW809" s="131"/>
      <c r="AX809" s="131"/>
      <c r="AY809" s="131"/>
      <c r="AZ809" s="131"/>
      <c r="BA809" s="131"/>
      <c r="BB809" s="131"/>
      <c r="BC809" s="131"/>
      <c r="BD809" s="131"/>
      <c r="BE809" s="131"/>
      <c r="BF809" s="131"/>
      <c r="BG809" s="131"/>
      <c r="BH809" s="131"/>
      <c r="BI809" s="131"/>
      <c r="BJ809" s="131"/>
      <c r="BK809" s="131"/>
      <c r="BL809" s="131"/>
      <c r="BM809" s="131"/>
      <c r="BN809" s="131"/>
      <c r="BO809" s="131"/>
      <c r="BP809" s="131"/>
      <c r="BQ809" s="131"/>
      <c r="BR809" s="131"/>
      <c r="BS809" s="131"/>
      <c r="BT809" s="131"/>
      <c r="BU809" s="131"/>
      <c r="BV809" s="131"/>
      <c r="BW809" s="131"/>
      <c r="BX809" s="131"/>
      <c r="BY809" s="131"/>
      <c r="BZ809" s="131"/>
      <c r="CA809" s="131"/>
      <c r="CB809" s="131"/>
      <c r="CC809" s="131"/>
      <c r="CD809" s="131"/>
      <c r="CE809" s="131"/>
      <c r="CF809" s="131"/>
      <c r="CG809" s="131"/>
      <c r="CH809" s="131"/>
      <c r="CI809" s="131"/>
      <c r="CJ809" s="131"/>
      <c r="CK809" s="131"/>
      <c r="CL809" s="131"/>
      <c r="CM809" s="131"/>
      <c r="CN809" s="131"/>
      <c r="CO809" s="131"/>
      <c r="CP809" s="131"/>
      <c r="CQ809" s="131"/>
    </row>
    <row r="810" spans="1:95" ht="15" hidden="1" x14ac:dyDescent="0.25">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c r="AA810" s="131"/>
      <c r="AB810" s="131"/>
      <c r="AC810" s="131"/>
      <c r="AD810" s="131"/>
      <c r="AE810" s="131"/>
      <c r="AF810" s="131"/>
      <c r="AG810" s="131"/>
      <c r="AH810" s="131"/>
      <c r="AI810" s="131"/>
      <c r="AJ810" s="131"/>
      <c r="AK810" s="131"/>
      <c r="AL810" s="131"/>
      <c r="AM810" s="131"/>
      <c r="AN810" s="131"/>
      <c r="AO810" s="131"/>
      <c r="AP810" s="131"/>
      <c r="AQ810" s="131"/>
      <c r="AR810" s="131"/>
      <c r="AS810" s="131"/>
      <c r="AT810" s="131"/>
      <c r="AU810" s="131"/>
      <c r="AV810" s="131"/>
      <c r="AW810" s="131"/>
      <c r="AX810" s="131"/>
      <c r="AY810" s="131"/>
      <c r="AZ810" s="131"/>
      <c r="BA810" s="131"/>
      <c r="BB810" s="131"/>
      <c r="BC810" s="131"/>
      <c r="BD810" s="131"/>
      <c r="BE810" s="131"/>
      <c r="BF810" s="131"/>
      <c r="BG810" s="131"/>
      <c r="BH810" s="131"/>
      <c r="BI810" s="131"/>
      <c r="BJ810" s="131"/>
      <c r="BK810" s="131"/>
      <c r="BL810" s="131"/>
      <c r="BM810" s="131"/>
      <c r="BN810" s="131"/>
      <c r="BO810" s="131"/>
      <c r="BP810" s="131"/>
      <c r="BQ810" s="131"/>
      <c r="BR810" s="131"/>
      <c r="BS810" s="131"/>
      <c r="BT810" s="131"/>
      <c r="BU810" s="131"/>
      <c r="BV810" s="131"/>
      <c r="BW810" s="131"/>
      <c r="BX810" s="131"/>
      <c r="BY810" s="131"/>
      <c r="BZ810" s="131"/>
      <c r="CA810" s="131"/>
      <c r="CB810" s="131"/>
      <c r="CC810" s="131"/>
      <c r="CD810" s="131"/>
      <c r="CE810" s="131"/>
      <c r="CF810" s="131"/>
      <c r="CG810" s="131"/>
      <c r="CH810" s="131"/>
      <c r="CI810" s="131"/>
      <c r="CJ810" s="131"/>
      <c r="CK810" s="131"/>
      <c r="CL810" s="131"/>
      <c r="CM810" s="131"/>
      <c r="CN810" s="131"/>
      <c r="CO810" s="131"/>
      <c r="CP810" s="131"/>
      <c r="CQ810" s="131"/>
    </row>
    <row r="811" spans="1:95" ht="15" hidden="1" x14ac:dyDescent="0.25">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c r="AA811" s="131"/>
      <c r="AB811" s="131"/>
      <c r="AC811" s="131"/>
      <c r="AD811" s="131"/>
      <c r="AE811" s="131"/>
      <c r="AF811" s="131"/>
      <c r="AG811" s="131"/>
      <c r="AH811" s="131"/>
      <c r="AI811" s="131"/>
      <c r="AJ811" s="131"/>
      <c r="AK811" s="131"/>
      <c r="AL811" s="131"/>
      <c r="AM811" s="131"/>
      <c r="AN811" s="131"/>
      <c r="AO811" s="131"/>
      <c r="AP811" s="131"/>
      <c r="AQ811" s="131"/>
      <c r="AR811" s="131"/>
      <c r="AS811" s="131"/>
      <c r="AT811" s="131"/>
      <c r="AU811" s="131"/>
      <c r="AV811" s="131"/>
      <c r="AW811" s="131"/>
      <c r="AX811" s="131"/>
      <c r="AY811" s="131"/>
      <c r="AZ811" s="131"/>
      <c r="BA811" s="131"/>
      <c r="BB811" s="131"/>
      <c r="BC811" s="131"/>
      <c r="BD811" s="131"/>
      <c r="BE811" s="131"/>
      <c r="BF811" s="131"/>
      <c r="BG811" s="131"/>
      <c r="BH811" s="131"/>
      <c r="BI811" s="131"/>
      <c r="BJ811" s="131"/>
      <c r="BK811" s="131"/>
      <c r="BL811" s="131"/>
      <c r="BM811" s="131"/>
      <c r="BN811" s="131"/>
      <c r="BO811" s="131"/>
      <c r="BP811" s="131"/>
      <c r="BQ811" s="131"/>
      <c r="BR811" s="131"/>
      <c r="BS811" s="131"/>
      <c r="BT811" s="131"/>
      <c r="BU811" s="131"/>
      <c r="BV811" s="131"/>
      <c r="BW811" s="131"/>
      <c r="BX811" s="131"/>
      <c r="BY811" s="131"/>
      <c r="BZ811" s="131"/>
      <c r="CA811" s="131"/>
      <c r="CB811" s="131"/>
      <c r="CC811" s="131"/>
      <c r="CD811" s="131"/>
      <c r="CE811" s="131"/>
      <c r="CF811" s="131"/>
      <c r="CG811" s="131"/>
      <c r="CH811" s="131"/>
      <c r="CI811" s="131"/>
      <c r="CJ811" s="131"/>
      <c r="CK811" s="131"/>
      <c r="CL811" s="131"/>
      <c r="CM811" s="131"/>
      <c r="CN811" s="131"/>
      <c r="CO811" s="131"/>
      <c r="CP811" s="131"/>
      <c r="CQ811" s="131"/>
    </row>
    <row r="812" spans="1:95" ht="15" hidden="1" x14ac:dyDescent="0.25">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c r="AA812" s="131"/>
      <c r="AB812" s="131"/>
      <c r="AC812" s="131"/>
      <c r="AD812" s="131"/>
      <c r="AE812" s="131"/>
      <c r="AF812" s="131"/>
      <c r="AG812" s="131"/>
      <c r="AH812" s="131"/>
      <c r="AI812" s="131"/>
      <c r="AJ812" s="131"/>
      <c r="AK812" s="131"/>
      <c r="AL812" s="131"/>
      <c r="AM812" s="131"/>
      <c r="AN812" s="131"/>
      <c r="AO812" s="131"/>
      <c r="AP812" s="131"/>
      <c r="AQ812" s="131"/>
      <c r="AR812" s="131"/>
      <c r="AS812" s="131"/>
      <c r="AT812" s="131"/>
      <c r="AU812" s="131"/>
      <c r="AV812" s="131"/>
      <c r="AW812" s="131"/>
      <c r="AX812" s="131"/>
      <c r="AY812" s="131"/>
      <c r="AZ812" s="131"/>
      <c r="BA812" s="131"/>
      <c r="BB812" s="131"/>
      <c r="BC812" s="131"/>
      <c r="BD812" s="131"/>
      <c r="BE812" s="131"/>
      <c r="BF812" s="131"/>
      <c r="BG812" s="131"/>
      <c r="BH812" s="131"/>
      <c r="BI812" s="131"/>
      <c r="BJ812" s="131"/>
      <c r="BK812" s="131"/>
      <c r="BL812" s="131"/>
      <c r="BM812" s="131"/>
      <c r="BN812" s="131"/>
      <c r="BO812" s="131"/>
      <c r="BP812" s="131"/>
      <c r="BQ812" s="131"/>
      <c r="BR812" s="131"/>
      <c r="BS812" s="131"/>
      <c r="BT812" s="131"/>
      <c r="BU812" s="131"/>
      <c r="BV812" s="131"/>
      <c r="BW812" s="131"/>
      <c r="BX812" s="131"/>
      <c r="BY812" s="131"/>
      <c r="BZ812" s="131"/>
      <c r="CA812" s="131"/>
      <c r="CB812" s="131"/>
      <c r="CC812" s="131"/>
      <c r="CD812" s="131"/>
      <c r="CE812" s="131"/>
      <c r="CF812" s="131"/>
      <c r="CG812" s="131"/>
      <c r="CH812" s="131"/>
      <c r="CI812" s="131"/>
      <c r="CJ812" s="131"/>
      <c r="CK812" s="131"/>
      <c r="CL812" s="131"/>
      <c r="CM812" s="131"/>
      <c r="CN812" s="131"/>
      <c r="CO812" s="131"/>
      <c r="CP812" s="131"/>
      <c r="CQ812" s="131"/>
    </row>
    <row r="813" spans="1:95" ht="15" hidden="1" x14ac:dyDescent="0.25">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c r="AA813" s="131"/>
      <c r="AB813" s="131"/>
      <c r="AC813" s="131"/>
      <c r="AD813" s="131"/>
      <c r="AE813" s="131"/>
      <c r="AF813" s="131"/>
      <c r="AG813" s="131"/>
      <c r="AH813" s="131"/>
      <c r="AI813" s="131"/>
      <c r="AJ813" s="131"/>
      <c r="AK813" s="131"/>
      <c r="AL813" s="131"/>
      <c r="AM813" s="131"/>
      <c r="AN813" s="131"/>
      <c r="AO813" s="131"/>
      <c r="AP813" s="131"/>
      <c r="AQ813" s="131"/>
      <c r="AR813" s="131"/>
      <c r="AS813" s="131"/>
      <c r="AT813" s="131"/>
      <c r="AU813" s="131"/>
      <c r="AV813" s="131"/>
      <c r="AW813" s="131"/>
      <c r="AX813" s="131"/>
      <c r="AY813" s="131"/>
      <c r="AZ813" s="131"/>
      <c r="BA813" s="131"/>
      <c r="BB813" s="131"/>
      <c r="BC813" s="131"/>
      <c r="BD813" s="131"/>
      <c r="BE813" s="131"/>
      <c r="BF813" s="131"/>
      <c r="BG813" s="131"/>
      <c r="BH813" s="131"/>
      <c r="BI813" s="131"/>
      <c r="BJ813" s="131"/>
      <c r="BK813" s="131"/>
      <c r="BL813" s="131"/>
      <c r="BM813" s="131"/>
      <c r="BN813" s="131"/>
      <c r="BO813" s="131"/>
      <c r="BP813" s="131"/>
      <c r="BQ813" s="131"/>
      <c r="BR813" s="131"/>
      <c r="BS813" s="131"/>
      <c r="BT813" s="131"/>
      <c r="BU813" s="131"/>
      <c r="BV813" s="131"/>
      <c r="BW813" s="131"/>
      <c r="BX813" s="131"/>
      <c r="BY813" s="131"/>
      <c r="BZ813" s="131"/>
      <c r="CA813" s="131"/>
      <c r="CB813" s="131"/>
      <c r="CC813" s="131"/>
      <c r="CD813" s="131"/>
      <c r="CE813" s="131"/>
      <c r="CF813" s="131"/>
      <c r="CG813" s="131"/>
      <c r="CH813" s="131"/>
      <c r="CI813" s="131"/>
      <c r="CJ813" s="131"/>
      <c r="CK813" s="131"/>
      <c r="CL813" s="131"/>
      <c r="CM813" s="131"/>
      <c r="CN813" s="131"/>
      <c r="CO813" s="131"/>
      <c r="CP813" s="131"/>
      <c r="CQ813" s="131"/>
    </row>
    <row r="814" spans="1:95" ht="15" hidden="1" x14ac:dyDescent="0.25">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c r="AA814" s="131"/>
      <c r="AB814" s="131"/>
      <c r="AC814" s="131"/>
      <c r="AD814" s="131"/>
      <c r="AE814" s="131"/>
      <c r="AF814" s="131"/>
      <c r="AG814" s="131"/>
      <c r="AH814" s="131"/>
      <c r="AI814" s="131"/>
      <c r="AJ814" s="131"/>
      <c r="AK814" s="131"/>
      <c r="AL814" s="131"/>
      <c r="AM814" s="131"/>
      <c r="AN814" s="131"/>
      <c r="AO814" s="131"/>
      <c r="AP814" s="131"/>
      <c r="AQ814" s="131"/>
      <c r="AR814" s="131"/>
      <c r="AS814" s="131"/>
      <c r="AT814" s="131"/>
      <c r="AU814" s="131"/>
      <c r="AV814" s="131"/>
      <c r="AW814" s="131"/>
      <c r="AX814" s="131"/>
      <c r="AY814" s="131"/>
      <c r="AZ814" s="131"/>
      <c r="BA814" s="131"/>
      <c r="BB814" s="131"/>
      <c r="BC814" s="131"/>
      <c r="BD814" s="131"/>
      <c r="BE814" s="131"/>
      <c r="BF814" s="131"/>
      <c r="BG814" s="131"/>
      <c r="BH814" s="131"/>
      <c r="BI814" s="131"/>
      <c r="BJ814" s="131"/>
      <c r="BK814" s="131"/>
      <c r="BL814" s="131"/>
      <c r="BM814" s="131"/>
      <c r="BN814" s="131"/>
      <c r="BO814" s="131"/>
      <c r="BP814" s="131"/>
      <c r="BQ814" s="131"/>
      <c r="BR814" s="131"/>
      <c r="BS814" s="131"/>
      <c r="BT814" s="131"/>
      <c r="BU814" s="131"/>
      <c r="BV814" s="131"/>
      <c r="BW814" s="131"/>
      <c r="BX814" s="131"/>
      <c r="BY814" s="131"/>
      <c r="BZ814" s="131"/>
      <c r="CA814" s="131"/>
      <c r="CB814" s="131"/>
      <c r="CC814" s="131"/>
      <c r="CD814" s="131"/>
      <c r="CE814" s="131"/>
      <c r="CF814" s="131"/>
      <c r="CG814" s="131"/>
      <c r="CH814" s="131"/>
      <c r="CI814" s="131"/>
      <c r="CJ814" s="131"/>
      <c r="CK814" s="131"/>
      <c r="CL814" s="131"/>
      <c r="CM814" s="131"/>
      <c r="CN814" s="131"/>
      <c r="CO814" s="131"/>
      <c r="CP814" s="131"/>
      <c r="CQ814" s="131"/>
    </row>
    <row r="815" spans="1:95" ht="15" hidden="1" x14ac:dyDescent="0.25">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c r="AA815" s="131"/>
      <c r="AB815" s="131"/>
      <c r="AC815" s="131"/>
      <c r="AD815" s="131"/>
      <c r="AE815" s="131"/>
      <c r="AF815" s="131"/>
      <c r="AG815" s="131"/>
      <c r="AH815" s="131"/>
      <c r="AI815" s="131"/>
      <c r="AJ815" s="131"/>
      <c r="AK815" s="131"/>
      <c r="AL815" s="131"/>
      <c r="AM815" s="131"/>
      <c r="AN815" s="131"/>
      <c r="AO815" s="131"/>
      <c r="AP815" s="131"/>
      <c r="AQ815" s="131"/>
      <c r="AR815" s="131"/>
      <c r="AS815" s="131"/>
      <c r="AT815" s="131"/>
      <c r="AU815" s="131"/>
      <c r="AV815" s="131"/>
      <c r="AW815" s="131"/>
      <c r="AX815" s="131"/>
      <c r="AY815" s="131"/>
      <c r="AZ815" s="131"/>
      <c r="BA815" s="131"/>
      <c r="BB815" s="131"/>
      <c r="BC815" s="131"/>
      <c r="BD815" s="131"/>
      <c r="BE815" s="131"/>
      <c r="BF815" s="131"/>
      <c r="BG815" s="131"/>
      <c r="BH815" s="131"/>
      <c r="BI815" s="131"/>
      <c r="BJ815" s="131"/>
      <c r="BK815" s="131"/>
      <c r="BL815" s="131"/>
      <c r="BM815" s="131"/>
      <c r="BN815" s="131"/>
      <c r="BO815" s="131"/>
      <c r="BP815" s="131"/>
      <c r="BQ815" s="131"/>
      <c r="BR815" s="131"/>
      <c r="BS815" s="131"/>
      <c r="BT815" s="131"/>
      <c r="BU815" s="131"/>
      <c r="BV815" s="131"/>
      <c r="BW815" s="131"/>
      <c r="BX815" s="131"/>
      <c r="BY815" s="131"/>
      <c r="BZ815" s="131"/>
      <c r="CA815" s="131"/>
      <c r="CB815" s="131"/>
      <c r="CC815" s="131"/>
      <c r="CD815" s="131"/>
      <c r="CE815" s="131"/>
      <c r="CF815" s="131"/>
      <c r="CG815" s="131"/>
      <c r="CH815" s="131"/>
      <c r="CI815" s="131"/>
      <c r="CJ815" s="131"/>
      <c r="CK815" s="131"/>
      <c r="CL815" s="131"/>
      <c r="CM815" s="131"/>
      <c r="CN815" s="131"/>
      <c r="CO815" s="131"/>
      <c r="CP815" s="131"/>
      <c r="CQ815" s="131"/>
    </row>
    <row r="816" spans="1:95" ht="15" hidden="1" x14ac:dyDescent="0.25">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c r="AA816" s="131"/>
      <c r="AB816" s="131"/>
      <c r="AC816" s="131"/>
      <c r="AD816" s="131"/>
      <c r="AE816" s="131"/>
      <c r="AF816" s="131"/>
      <c r="AG816" s="131"/>
      <c r="AH816" s="131"/>
      <c r="AI816" s="131"/>
      <c r="AJ816" s="131"/>
      <c r="AK816" s="131"/>
      <c r="AL816" s="131"/>
      <c r="AM816" s="131"/>
      <c r="AN816" s="131"/>
      <c r="AO816" s="131"/>
      <c r="AP816" s="131"/>
      <c r="AQ816" s="131"/>
      <c r="AR816" s="131"/>
      <c r="AS816" s="131"/>
      <c r="AT816" s="131"/>
      <c r="AU816" s="131"/>
      <c r="AV816" s="131"/>
      <c r="AW816" s="131"/>
      <c r="AX816" s="131"/>
      <c r="AY816" s="131"/>
      <c r="AZ816" s="131"/>
      <c r="BA816" s="131"/>
      <c r="BB816" s="131"/>
      <c r="BC816" s="131"/>
      <c r="BD816" s="131"/>
      <c r="BE816" s="131"/>
      <c r="BF816" s="131"/>
      <c r="BG816" s="131"/>
      <c r="BH816" s="131"/>
      <c r="BI816" s="131"/>
      <c r="BJ816" s="131"/>
      <c r="BK816" s="131"/>
      <c r="BL816" s="131"/>
      <c r="BM816" s="131"/>
      <c r="BN816" s="131"/>
      <c r="BO816" s="131"/>
      <c r="BP816" s="131"/>
      <c r="BQ816" s="131"/>
      <c r="BR816" s="131"/>
      <c r="BS816" s="131"/>
      <c r="BT816" s="131"/>
      <c r="BU816" s="131"/>
      <c r="BV816" s="131"/>
      <c r="BW816" s="131"/>
      <c r="BX816" s="131"/>
      <c r="BY816" s="131"/>
      <c r="BZ816" s="131"/>
      <c r="CA816" s="131"/>
      <c r="CB816" s="131"/>
      <c r="CC816" s="131"/>
      <c r="CD816" s="131"/>
      <c r="CE816" s="131"/>
      <c r="CF816" s="131"/>
      <c r="CG816" s="131"/>
      <c r="CH816" s="131"/>
      <c r="CI816" s="131"/>
      <c r="CJ816" s="131"/>
      <c r="CK816" s="131"/>
      <c r="CL816" s="131"/>
      <c r="CM816" s="131"/>
      <c r="CN816" s="131"/>
      <c r="CO816" s="131"/>
      <c r="CP816" s="131"/>
      <c r="CQ816" s="131"/>
    </row>
    <row r="817" spans="1:95" ht="15" hidden="1" x14ac:dyDescent="0.25">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c r="AA817" s="131"/>
      <c r="AB817" s="131"/>
      <c r="AC817" s="131"/>
      <c r="AD817" s="131"/>
      <c r="AE817" s="131"/>
      <c r="AF817" s="131"/>
      <c r="AG817" s="131"/>
      <c r="AH817" s="131"/>
      <c r="AI817" s="131"/>
      <c r="AJ817" s="131"/>
      <c r="AK817" s="131"/>
      <c r="AL817" s="131"/>
      <c r="AM817" s="131"/>
      <c r="AN817" s="131"/>
      <c r="AO817" s="131"/>
      <c r="AP817" s="131"/>
      <c r="AQ817" s="131"/>
      <c r="AR817" s="131"/>
      <c r="AS817" s="131"/>
      <c r="AT817" s="131"/>
      <c r="AU817" s="131"/>
      <c r="AV817" s="131"/>
      <c r="AW817" s="131"/>
      <c r="AX817" s="131"/>
      <c r="AY817" s="131"/>
      <c r="AZ817" s="131"/>
      <c r="BA817" s="131"/>
      <c r="BB817" s="131"/>
      <c r="BC817" s="131"/>
      <c r="BD817" s="131"/>
      <c r="BE817" s="131"/>
      <c r="BF817" s="131"/>
      <c r="BG817" s="131"/>
      <c r="BH817" s="131"/>
      <c r="BI817" s="131"/>
      <c r="BJ817" s="131"/>
      <c r="BK817" s="131"/>
      <c r="BL817" s="131"/>
      <c r="BM817" s="131"/>
      <c r="BN817" s="131"/>
      <c r="BO817" s="131"/>
      <c r="BP817" s="131"/>
      <c r="BQ817" s="131"/>
      <c r="BR817" s="131"/>
      <c r="BS817" s="131"/>
      <c r="BT817" s="131"/>
      <c r="BU817" s="131"/>
      <c r="BV817" s="131"/>
      <c r="BW817" s="131"/>
      <c r="BX817" s="131"/>
      <c r="BY817" s="131"/>
      <c r="BZ817" s="131"/>
      <c r="CA817" s="131"/>
      <c r="CB817" s="131"/>
      <c r="CC817" s="131"/>
      <c r="CD817" s="131"/>
      <c r="CE817" s="131"/>
      <c r="CF817" s="131"/>
      <c r="CG817" s="131"/>
      <c r="CH817" s="131"/>
      <c r="CI817" s="131"/>
      <c r="CJ817" s="131"/>
      <c r="CK817" s="131"/>
      <c r="CL817" s="131"/>
      <c r="CM817" s="131"/>
      <c r="CN817" s="131"/>
      <c r="CO817" s="131"/>
      <c r="CP817" s="131"/>
      <c r="CQ817" s="131"/>
    </row>
    <row r="818" spans="1:95" ht="15" hidden="1" x14ac:dyDescent="0.25">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c r="AA818" s="131"/>
      <c r="AB818" s="131"/>
      <c r="AC818" s="131"/>
      <c r="AD818" s="131"/>
      <c r="AE818" s="131"/>
      <c r="AF818" s="131"/>
      <c r="AG818" s="131"/>
      <c r="AH818" s="131"/>
      <c r="AI818" s="131"/>
      <c r="AJ818" s="131"/>
      <c r="AK818" s="131"/>
      <c r="AL818" s="131"/>
      <c r="AM818" s="131"/>
      <c r="AN818" s="131"/>
      <c r="AO818" s="131"/>
      <c r="AP818" s="131"/>
      <c r="AQ818" s="131"/>
      <c r="AR818" s="131"/>
      <c r="AS818" s="131"/>
      <c r="AT818" s="131"/>
      <c r="AU818" s="131"/>
      <c r="AV818" s="131"/>
      <c r="AW818" s="131"/>
      <c r="AX818" s="131"/>
      <c r="AY818" s="131"/>
      <c r="AZ818" s="131"/>
      <c r="BA818" s="131"/>
      <c r="BB818" s="131"/>
      <c r="BC818" s="131"/>
      <c r="BD818" s="131"/>
      <c r="BE818" s="131"/>
      <c r="BF818" s="131"/>
      <c r="BG818" s="131"/>
      <c r="BH818" s="131"/>
      <c r="BI818" s="131"/>
      <c r="BJ818" s="131"/>
      <c r="BK818" s="131"/>
      <c r="BL818" s="131"/>
      <c r="BM818" s="131"/>
      <c r="BN818" s="131"/>
      <c r="BO818" s="131"/>
      <c r="BP818" s="131"/>
      <c r="BQ818" s="131"/>
      <c r="BR818" s="131"/>
      <c r="BS818" s="131"/>
      <c r="BT818" s="131"/>
      <c r="BU818" s="131"/>
      <c r="BV818" s="131"/>
      <c r="BW818" s="131"/>
      <c r="BX818" s="131"/>
      <c r="BY818" s="131"/>
      <c r="BZ818" s="131"/>
      <c r="CA818" s="131"/>
      <c r="CB818" s="131"/>
      <c r="CC818" s="131"/>
      <c r="CD818" s="131"/>
      <c r="CE818" s="131"/>
      <c r="CF818" s="131"/>
      <c r="CG818" s="131"/>
      <c r="CH818" s="131"/>
      <c r="CI818" s="131"/>
      <c r="CJ818" s="131"/>
      <c r="CK818" s="131"/>
      <c r="CL818" s="131"/>
      <c r="CM818" s="131"/>
      <c r="CN818" s="131"/>
      <c r="CO818" s="131"/>
      <c r="CP818" s="131"/>
      <c r="CQ818" s="131"/>
    </row>
    <row r="819" spans="1:95" ht="15" hidden="1" x14ac:dyDescent="0.25">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c r="AA819" s="131"/>
      <c r="AB819" s="131"/>
      <c r="AC819" s="131"/>
      <c r="AD819" s="131"/>
      <c r="AE819" s="131"/>
      <c r="AF819" s="131"/>
      <c r="AG819" s="131"/>
      <c r="AH819" s="131"/>
      <c r="AI819" s="131"/>
      <c r="AJ819" s="131"/>
      <c r="AK819" s="131"/>
      <c r="AL819" s="131"/>
      <c r="AM819" s="131"/>
      <c r="AN819" s="131"/>
      <c r="AO819" s="131"/>
      <c r="AP819" s="131"/>
      <c r="AQ819" s="131"/>
      <c r="AR819" s="131"/>
      <c r="AS819" s="131"/>
      <c r="AT819" s="131"/>
      <c r="AU819" s="131"/>
      <c r="AV819" s="131"/>
      <c r="AW819" s="131"/>
      <c r="AX819" s="131"/>
      <c r="AY819" s="131"/>
      <c r="AZ819" s="131"/>
      <c r="BA819" s="131"/>
      <c r="BB819" s="131"/>
      <c r="BC819" s="131"/>
      <c r="BD819" s="131"/>
      <c r="BE819" s="131"/>
      <c r="BF819" s="131"/>
      <c r="BG819" s="131"/>
      <c r="BH819" s="131"/>
      <c r="BI819" s="131"/>
      <c r="BJ819" s="131"/>
      <c r="BK819" s="131"/>
      <c r="BL819" s="131"/>
      <c r="BM819" s="131"/>
      <c r="BN819" s="131"/>
      <c r="BO819" s="131"/>
      <c r="BP819" s="131"/>
      <c r="BQ819" s="131"/>
      <c r="BR819" s="131"/>
      <c r="BS819" s="131"/>
      <c r="BT819" s="131"/>
      <c r="BU819" s="131"/>
      <c r="BV819" s="131"/>
      <c r="BW819" s="131"/>
      <c r="BX819" s="131"/>
      <c r="BY819" s="131"/>
      <c r="BZ819" s="131"/>
      <c r="CA819" s="131"/>
      <c r="CB819" s="131"/>
      <c r="CC819" s="131"/>
      <c r="CD819" s="131"/>
      <c r="CE819" s="131"/>
      <c r="CF819" s="131"/>
      <c r="CG819" s="131"/>
      <c r="CH819" s="131"/>
      <c r="CI819" s="131"/>
      <c r="CJ819" s="131"/>
      <c r="CK819" s="131"/>
      <c r="CL819" s="131"/>
      <c r="CM819" s="131"/>
      <c r="CN819" s="131"/>
      <c r="CO819" s="131"/>
      <c r="CP819" s="131"/>
      <c r="CQ819" s="131"/>
    </row>
    <row r="820" spans="1:95" ht="15" hidden="1" x14ac:dyDescent="0.25">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c r="AA820" s="131"/>
      <c r="AB820" s="131"/>
      <c r="AC820" s="131"/>
      <c r="AD820" s="131"/>
      <c r="AE820" s="131"/>
      <c r="AF820" s="131"/>
      <c r="AG820" s="131"/>
      <c r="AH820" s="131"/>
      <c r="AI820" s="131"/>
      <c r="AJ820" s="131"/>
      <c r="AK820" s="131"/>
      <c r="AL820" s="131"/>
      <c r="AM820" s="131"/>
      <c r="AN820" s="131"/>
      <c r="AO820" s="131"/>
      <c r="AP820" s="131"/>
      <c r="AQ820" s="131"/>
      <c r="AR820" s="131"/>
      <c r="AS820" s="131"/>
      <c r="AT820" s="131"/>
      <c r="AU820" s="131"/>
      <c r="AV820" s="131"/>
      <c r="AW820" s="131"/>
      <c r="AX820" s="131"/>
      <c r="AY820" s="131"/>
      <c r="AZ820" s="131"/>
      <c r="BA820" s="131"/>
      <c r="BB820" s="131"/>
      <c r="BC820" s="131"/>
      <c r="BD820" s="131"/>
      <c r="BE820" s="131"/>
      <c r="BF820" s="131"/>
      <c r="BG820" s="131"/>
      <c r="BH820" s="131"/>
      <c r="BI820" s="131"/>
      <c r="BJ820" s="131"/>
      <c r="BK820" s="131"/>
      <c r="BL820" s="131"/>
      <c r="BM820" s="131"/>
      <c r="BN820" s="131"/>
      <c r="BO820" s="131"/>
      <c r="BP820" s="131"/>
      <c r="BQ820" s="131"/>
      <c r="BR820" s="131"/>
      <c r="BS820" s="131"/>
      <c r="BT820" s="131"/>
      <c r="BU820" s="131"/>
      <c r="BV820" s="131"/>
      <c r="BW820" s="131"/>
      <c r="BX820" s="131"/>
      <c r="BY820" s="131"/>
      <c r="BZ820" s="131"/>
      <c r="CA820" s="131"/>
      <c r="CB820" s="131"/>
      <c r="CC820" s="131"/>
      <c r="CD820" s="131"/>
      <c r="CE820" s="131"/>
      <c r="CF820" s="131"/>
      <c r="CG820" s="131"/>
      <c r="CH820" s="131"/>
      <c r="CI820" s="131"/>
      <c r="CJ820" s="131"/>
      <c r="CK820" s="131"/>
      <c r="CL820" s="131"/>
      <c r="CM820" s="131"/>
      <c r="CN820" s="131"/>
      <c r="CO820" s="131"/>
      <c r="CP820" s="131"/>
      <c r="CQ820" s="131"/>
    </row>
    <row r="821" spans="1:95" ht="15" hidden="1" x14ac:dyDescent="0.25">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c r="AA821" s="131"/>
      <c r="AB821" s="131"/>
      <c r="AC821" s="131"/>
      <c r="AD821" s="131"/>
      <c r="AE821" s="131"/>
      <c r="AF821" s="131"/>
      <c r="AG821" s="131"/>
      <c r="AH821" s="131"/>
      <c r="AI821" s="131"/>
      <c r="AJ821" s="131"/>
      <c r="AK821" s="131"/>
      <c r="AL821" s="131"/>
      <c r="AM821" s="131"/>
      <c r="AN821" s="131"/>
      <c r="AO821" s="131"/>
      <c r="AP821" s="131"/>
      <c r="AQ821" s="131"/>
      <c r="AR821" s="131"/>
      <c r="AS821" s="131"/>
      <c r="AT821" s="131"/>
      <c r="AU821" s="131"/>
      <c r="AV821" s="131"/>
      <c r="AW821" s="131"/>
      <c r="AX821" s="131"/>
      <c r="AY821" s="131"/>
      <c r="AZ821" s="131"/>
      <c r="BA821" s="131"/>
      <c r="BB821" s="131"/>
      <c r="BC821" s="131"/>
      <c r="BD821" s="131"/>
      <c r="BE821" s="131"/>
      <c r="BF821" s="131"/>
      <c r="BG821" s="131"/>
      <c r="BH821" s="131"/>
      <c r="BI821" s="131"/>
      <c r="BJ821" s="131"/>
      <c r="BK821" s="131"/>
      <c r="BL821" s="131"/>
      <c r="BM821" s="131"/>
      <c r="BN821" s="131"/>
      <c r="BO821" s="131"/>
      <c r="BP821" s="131"/>
      <c r="BQ821" s="131"/>
      <c r="BR821" s="131"/>
      <c r="BS821" s="131"/>
      <c r="BT821" s="131"/>
      <c r="BU821" s="131"/>
      <c r="BV821" s="131"/>
      <c r="BW821" s="131"/>
      <c r="BX821" s="131"/>
      <c r="BY821" s="131"/>
      <c r="BZ821" s="131"/>
      <c r="CA821" s="131"/>
      <c r="CB821" s="131"/>
      <c r="CC821" s="131"/>
      <c r="CD821" s="131"/>
      <c r="CE821" s="131"/>
      <c r="CF821" s="131"/>
      <c r="CG821" s="131"/>
      <c r="CH821" s="131"/>
      <c r="CI821" s="131"/>
      <c r="CJ821" s="131"/>
      <c r="CK821" s="131"/>
      <c r="CL821" s="131"/>
      <c r="CM821" s="131"/>
      <c r="CN821" s="131"/>
      <c r="CO821" s="131"/>
      <c r="CP821" s="131"/>
      <c r="CQ821" s="131"/>
    </row>
    <row r="822" spans="1:95" ht="15" hidden="1" x14ac:dyDescent="0.25">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c r="AA822" s="131"/>
      <c r="AB822" s="131"/>
      <c r="AC822" s="131"/>
      <c r="AD822" s="131"/>
      <c r="AE822" s="131"/>
      <c r="AF822" s="131"/>
      <c r="AG822" s="131"/>
      <c r="AH822" s="131"/>
      <c r="AI822" s="131"/>
      <c r="AJ822" s="131"/>
      <c r="AK822" s="131"/>
      <c r="AL822" s="131"/>
      <c r="AM822" s="131"/>
      <c r="AN822" s="131"/>
      <c r="AO822" s="131"/>
      <c r="AP822" s="131"/>
      <c r="AQ822" s="131"/>
      <c r="AR822" s="131"/>
      <c r="AS822" s="131"/>
      <c r="AT822" s="131"/>
      <c r="AU822" s="131"/>
      <c r="AV822" s="131"/>
      <c r="AW822" s="131"/>
      <c r="AX822" s="131"/>
      <c r="AY822" s="131"/>
      <c r="AZ822" s="131"/>
      <c r="BA822" s="131"/>
      <c r="BB822" s="131"/>
      <c r="BC822" s="131"/>
      <c r="BD822" s="131"/>
      <c r="BE822" s="131"/>
      <c r="BF822" s="131"/>
      <c r="BG822" s="131"/>
      <c r="BH822" s="131"/>
      <c r="BI822" s="131"/>
      <c r="BJ822" s="131"/>
      <c r="BK822" s="131"/>
      <c r="BL822" s="131"/>
      <c r="BM822" s="131"/>
      <c r="BN822" s="131"/>
      <c r="BO822" s="131"/>
      <c r="BP822" s="131"/>
      <c r="BQ822" s="131"/>
      <c r="BR822" s="131"/>
      <c r="BS822" s="131"/>
      <c r="BT822" s="131"/>
      <c r="BU822" s="131"/>
      <c r="BV822" s="131"/>
      <c r="BW822" s="131"/>
      <c r="BX822" s="131"/>
      <c r="BY822" s="131"/>
      <c r="BZ822" s="131"/>
      <c r="CA822" s="131"/>
      <c r="CB822" s="131"/>
      <c r="CC822" s="131"/>
      <c r="CD822" s="131"/>
      <c r="CE822" s="131"/>
      <c r="CF822" s="131"/>
      <c r="CG822" s="131"/>
      <c r="CH822" s="131"/>
      <c r="CI822" s="131"/>
      <c r="CJ822" s="131"/>
      <c r="CK822" s="131"/>
      <c r="CL822" s="131"/>
      <c r="CM822" s="131"/>
      <c r="CN822" s="131"/>
      <c r="CO822" s="131"/>
      <c r="CP822" s="131"/>
      <c r="CQ822" s="131"/>
    </row>
    <row r="823" spans="1:95" ht="15" hidden="1" x14ac:dyDescent="0.25">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c r="AA823" s="131"/>
      <c r="AB823" s="131"/>
      <c r="AC823" s="131"/>
      <c r="AD823" s="131"/>
      <c r="AE823" s="131"/>
      <c r="AF823" s="131"/>
      <c r="AG823" s="131"/>
      <c r="AH823" s="131"/>
      <c r="AI823" s="131"/>
      <c r="AJ823" s="131"/>
      <c r="AK823" s="131"/>
      <c r="AL823" s="131"/>
      <c r="AM823" s="131"/>
      <c r="AN823" s="131"/>
      <c r="AO823" s="131"/>
      <c r="AP823" s="131"/>
      <c r="AQ823" s="131"/>
      <c r="AR823" s="131"/>
      <c r="AS823" s="131"/>
      <c r="AT823" s="131"/>
      <c r="AU823" s="131"/>
      <c r="AV823" s="131"/>
      <c r="AW823" s="131"/>
      <c r="AX823" s="131"/>
      <c r="AY823" s="131"/>
      <c r="AZ823" s="131"/>
      <c r="BA823" s="131"/>
      <c r="BB823" s="131"/>
      <c r="BC823" s="131"/>
      <c r="BD823" s="131"/>
      <c r="BE823" s="131"/>
      <c r="BF823" s="131"/>
      <c r="BG823" s="131"/>
      <c r="BH823" s="131"/>
      <c r="BI823" s="131"/>
      <c r="BJ823" s="131"/>
      <c r="BK823" s="131"/>
      <c r="BL823" s="131"/>
      <c r="BM823" s="131"/>
      <c r="BN823" s="131"/>
      <c r="BO823" s="131"/>
      <c r="BP823" s="131"/>
      <c r="BQ823" s="131"/>
      <c r="BR823" s="131"/>
      <c r="BS823" s="131"/>
      <c r="BT823" s="131"/>
      <c r="BU823" s="131"/>
      <c r="BV823" s="131"/>
      <c r="BW823" s="131"/>
      <c r="BX823" s="131"/>
      <c r="BY823" s="131"/>
      <c r="BZ823" s="131"/>
      <c r="CA823" s="131"/>
      <c r="CB823" s="131"/>
      <c r="CC823" s="131"/>
      <c r="CD823" s="131"/>
      <c r="CE823" s="131"/>
      <c r="CF823" s="131"/>
      <c r="CG823" s="131"/>
      <c r="CH823" s="131"/>
      <c r="CI823" s="131"/>
      <c r="CJ823" s="131"/>
      <c r="CK823" s="131"/>
      <c r="CL823" s="131"/>
      <c r="CM823" s="131"/>
      <c r="CN823" s="131"/>
      <c r="CO823" s="131"/>
      <c r="CP823" s="131"/>
      <c r="CQ823" s="131"/>
    </row>
    <row r="824" spans="1:95" ht="15" hidden="1" x14ac:dyDescent="0.25">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c r="AA824" s="131"/>
      <c r="AB824" s="131"/>
      <c r="AC824" s="131"/>
      <c r="AD824" s="131"/>
      <c r="AE824" s="131"/>
      <c r="AF824" s="131"/>
      <c r="AG824" s="131"/>
      <c r="AH824" s="131"/>
      <c r="AI824" s="131"/>
      <c r="AJ824" s="131"/>
      <c r="AK824" s="131"/>
      <c r="AL824" s="131"/>
      <c r="AM824" s="131"/>
      <c r="AN824" s="131"/>
      <c r="AO824" s="131"/>
      <c r="AP824" s="131"/>
      <c r="AQ824" s="131"/>
      <c r="AR824" s="131"/>
      <c r="AS824" s="131"/>
      <c r="AT824" s="131"/>
      <c r="AU824" s="131"/>
      <c r="AV824" s="131"/>
      <c r="AW824" s="131"/>
      <c r="AX824" s="131"/>
      <c r="AY824" s="131"/>
      <c r="AZ824" s="131"/>
      <c r="BA824" s="131"/>
      <c r="BB824" s="131"/>
      <c r="BC824" s="131"/>
      <c r="BD824" s="131"/>
      <c r="BE824" s="131"/>
      <c r="BF824" s="131"/>
      <c r="BG824" s="131"/>
      <c r="BH824" s="131"/>
      <c r="BI824" s="131"/>
      <c r="BJ824" s="131"/>
      <c r="BK824" s="131"/>
      <c r="BL824" s="131"/>
      <c r="BM824" s="131"/>
      <c r="BN824" s="131"/>
      <c r="BO824" s="131"/>
      <c r="BP824" s="131"/>
      <c r="BQ824" s="131"/>
      <c r="BR824" s="131"/>
      <c r="BS824" s="131"/>
      <c r="BT824" s="131"/>
      <c r="BU824" s="131"/>
      <c r="BV824" s="131"/>
      <c r="BW824" s="131"/>
      <c r="BX824" s="131"/>
      <c r="BY824" s="131"/>
      <c r="BZ824" s="131"/>
      <c r="CA824" s="131"/>
      <c r="CB824" s="131"/>
      <c r="CC824" s="131"/>
      <c r="CD824" s="131"/>
      <c r="CE824" s="131"/>
      <c r="CF824" s="131"/>
      <c r="CG824" s="131"/>
      <c r="CH824" s="131"/>
      <c r="CI824" s="131"/>
      <c r="CJ824" s="131"/>
      <c r="CK824" s="131"/>
      <c r="CL824" s="131"/>
      <c r="CM824" s="131"/>
      <c r="CN824" s="131"/>
      <c r="CO824" s="131"/>
      <c r="CP824" s="131"/>
      <c r="CQ824" s="131"/>
    </row>
    <row r="825" spans="1:95" ht="15" hidden="1" x14ac:dyDescent="0.25">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c r="AA825" s="131"/>
      <c r="AB825" s="131"/>
      <c r="AC825" s="131"/>
      <c r="AD825" s="131"/>
      <c r="AE825" s="131"/>
      <c r="AF825" s="131"/>
      <c r="AG825" s="131"/>
      <c r="AH825" s="131"/>
      <c r="AI825" s="131"/>
      <c r="AJ825" s="131"/>
      <c r="AK825" s="131"/>
      <c r="AL825" s="131"/>
      <c r="AM825" s="131"/>
      <c r="AN825" s="131"/>
      <c r="AO825" s="131"/>
      <c r="AP825" s="131"/>
      <c r="AQ825" s="131"/>
      <c r="AR825" s="131"/>
      <c r="AS825" s="131"/>
      <c r="AT825" s="131"/>
      <c r="AU825" s="131"/>
      <c r="AV825" s="131"/>
      <c r="AW825" s="131"/>
      <c r="AX825" s="131"/>
      <c r="AY825" s="131"/>
      <c r="AZ825" s="131"/>
      <c r="BA825" s="131"/>
      <c r="BB825" s="131"/>
      <c r="BC825" s="131"/>
      <c r="BD825" s="131"/>
      <c r="BE825" s="131"/>
      <c r="BF825" s="131"/>
      <c r="BG825" s="131"/>
      <c r="BH825" s="131"/>
      <c r="BI825" s="131"/>
      <c r="BJ825" s="131"/>
      <c r="BK825" s="131"/>
      <c r="BL825" s="131"/>
      <c r="BM825" s="131"/>
      <c r="BN825" s="131"/>
      <c r="BO825" s="131"/>
      <c r="BP825" s="131"/>
      <c r="BQ825" s="131"/>
      <c r="BR825" s="131"/>
      <c r="BS825" s="131"/>
      <c r="BT825" s="131"/>
      <c r="BU825" s="131"/>
      <c r="BV825" s="131"/>
      <c r="BW825" s="131"/>
      <c r="BX825" s="131"/>
      <c r="BY825" s="131"/>
      <c r="BZ825" s="131"/>
      <c r="CA825" s="131"/>
      <c r="CB825" s="131"/>
      <c r="CC825" s="131"/>
      <c r="CD825" s="131"/>
      <c r="CE825" s="131"/>
      <c r="CF825" s="131"/>
      <c r="CG825" s="131"/>
      <c r="CH825" s="131"/>
      <c r="CI825" s="131"/>
      <c r="CJ825" s="131"/>
      <c r="CK825" s="131"/>
      <c r="CL825" s="131"/>
      <c r="CM825" s="131"/>
      <c r="CN825" s="131"/>
      <c r="CO825" s="131"/>
      <c r="CP825" s="131"/>
      <c r="CQ825" s="131"/>
    </row>
    <row r="826" spans="1:95" ht="15" hidden="1" x14ac:dyDescent="0.25">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c r="AA826" s="131"/>
      <c r="AB826" s="131"/>
      <c r="AC826" s="131"/>
      <c r="AD826" s="131"/>
      <c r="AE826" s="131"/>
      <c r="AF826" s="131"/>
      <c r="AG826" s="131"/>
      <c r="AH826" s="131"/>
      <c r="AI826" s="131"/>
      <c r="AJ826" s="131"/>
      <c r="AK826" s="131"/>
      <c r="AL826" s="131"/>
      <c r="AM826" s="131"/>
      <c r="AN826" s="131"/>
      <c r="AO826" s="131"/>
      <c r="AP826" s="131"/>
      <c r="AQ826" s="131"/>
      <c r="AR826" s="131"/>
      <c r="AS826" s="131"/>
      <c r="AT826" s="131"/>
      <c r="AU826" s="131"/>
      <c r="AV826" s="131"/>
      <c r="AW826" s="131"/>
      <c r="AX826" s="131"/>
      <c r="AY826" s="131"/>
      <c r="AZ826" s="131"/>
      <c r="BA826" s="131"/>
      <c r="BB826" s="131"/>
      <c r="BC826" s="131"/>
      <c r="BD826" s="131"/>
      <c r="BE826" s="131"/>
      <c r="BF826" s="131"/>
      <c r="BG826" s="131"/>
      <c r="BH826" s="131"/>
      <c r="BI826" s="131"/>
      <c r="BJ826" s="131"/>
      <c r="BK826" s="131"/>
      <c r="BL826" s="131"/>
      <c r="BM826" s="131"/>
      <c r="BN826" s="131"/>
      <c r="BO826" s="131"/>
      <c r="BP826" s="131"/>
      <c r="BQ826" s="131"/>
      <c r="BR826" s="131"/>
      <c r="BS826" s="131"/>
      <c r="BT826" s="131"/>
      <c r="BU826" s="131"/>
      <c r="BV826" s="131"/>
      <c r="BW826" s="131"/>
      <c r="BX826" s="131"/>
      <c r="BY826" s="131"/>
      <c r="BZ826" s="131"/>
      <c r="CA826" s="131"/>
      <c r="CB826" s="131"/>
      <c r="CC826" s="131"/>
      <c r="CD826" s="131"/>
      <c r="CE826" s="131"/>
      <c r="CF826" s="131"/>
      <c r="CG826" s="131"/>
      <c r="CH826" s="131"/>
      <c r="CI826" s="131"/>
      <c r="CJ826" s="131"/>
      <c r="CK826" s="131"/>
      <c r="CL826" s="131"/>
      <c r="CM826" s="131"/>
      <c r="CN826" s="131"/>
      <c r="CO826" s="131"/>
      <c r="CP826" s="131"/>
      <c r="CQ826" s="131"/>
    </row>
    <row r="827" spans="1:95" ht="15" hidden="1" x14ac:dyDescent="0.25">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c r="AA827" s="131"/>
      <c r="AB827" s="131"/>
      <c r="AC827" s="131"/>
      <c r="AD827" s="131"/>
      <c r="AE827" s="131"/>
      <c r="AF827" s="131"/>
      <c r="AG827" s="131"/>
      <c r="AH827" s="131"/>
      <c r="AI827" s="131"/>
      <c r="AJ827" s="131"/>
      <c r="AK827" s="131"/>
      <c r="AL827" s="131"/>
      <c r="AM827" s="131"/>
      <c r="AN827" s="131"/>
      <c r="AO827" s="131"/>
      <c r="AP827" s="131"/>
      <c r="AQ827" s="131"/>
      <c r="AR827" s="131"/>
      <c r="AS827" s="131"/>
      <c r="AT827" s="131"/>
      <c r="AU827" s="131"/>
      <c r="AV827" s="131"/>
      <c r="AW827" s="131"/>
      <c r="AX827" s="131"/>
      <c r="AY827" s="131"/>
      <c r="AZ827" s="131"/>
      <c r="BA827" s="131"/>
      <c r="BB827" s="131"/>
      <c r="BC827" s="131"/>
      <c r="BD827" s="131"/>
      <c r="BE827" s="131"/>
      <c r="BF827" s="131"/>
      <c r="BG827" s="131"/>
      <c r="BH827" s="131"/>
      <c r="BI827" s="131"/>
      <c r="BJ827" s="131"/>
      <c r="BK827" s="131"/>
      <c r="BL827" s="131"/>
      <c r="BM827" s="131"/>
      <c r="BN827" s="131"/>
      <c r="BO827" s="131"/>
      <c r="BP827" s="131"/>
      <c r="BQ827" s="131"/>
      <c r="BR827" s="131"/>
      <c r="BS827" s="131"/>
      <c r="BT827" s="131"/>
      <c r="BU827" s="131"/>
      <c r="BV827" s="131"/>
      <c r="BW827" s="131"/>
      <c r="BX827" s="131"/>
      <c r="BY827" s="131"/>
      <c r="BZ827" s="131"/>
      <c r="CA827" s="131"/>
      <c r="CB827" s="131"/>
      <c r="CC827" s="131"/>
      <c r="CD827" s="131"/>
      <c r="CE827" s="131"/>
      <c r="CF827" s="131"/>
      <c r="CG827" s="131"/>
      <c r="CH827" s="131"/>
      <c r="CI827" s="131"/>
      <c r="CJ827" s="131"/>
      <c r="CK827" s="131"/>
      <c r="CL827" s="131"/>
      <c r="CM827" s="131"/>
      <c r="CN827" s="131"/>
      <c r="CO827" s="131"/>
      <c r="CP827" s="131"/>
      <c r="CQ827" s="131"/>
    </row>
    <row r="828" spans="1:95" ht="15" hidden="1" x14ac:dyDescent="0.25">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c r="AA828" s="131"/>
      <c r="AB828" s="131"/>
      <c r="AC828" s="131"/>
      <c r="AD828" s="131"/>
      <c r="AE828" s="131"/>
      <c r="AF828" s="131"/>
      <c r="AG828" s="131"/>
      <c r="AH828" s="131"/>
      <c r="AI828" s="131"/>
      <c r="AJ828" s="131"/>
      <c r="AK828" s="131"/>
      <c r="AL828" s="131"/>
      <c r="AM828" s="131"/>
      <c r="AN828" s="131"/>
      <c r="AO828" s="131"/>
      <c r="AP828" s="131"/>
      <c r="AQ828" s="131"/>
      <c r="AR828" s="131"/>
      <c r="AS828" s="131"/>
      <c r="AT828" s="131"/>
      <c r="AU828" s="131"/>
      <c r="AV828" s="131"/>
      <c r="AW828" s="131"/>
      <c r="AX828" s="131"/>
      <c r="AY828" s="131"/>
      <c r="AZ828" s="131"/>
      <c r="BA828" s="131"/>
      <c r="BB828" s="131"/>
      <c r="BC828" s="131"/>
      <c r="BD828" s="131"/>
      <c r="BE828" s="131"/>
      <c r="BF828" s="131"/>
      <c r="BG828" s="131"/>
      <c r="BH828" s="131"/>
      <c r="BI828" s="131"/>
      <c r="BJ828" s="131"/>
      <c r="BK828" s="131"/>
      <c r="BL828" s="131"/>
      <c r="BM828" s="131"/>
      <c r="BN828" s="131"/>
      <c r="BO828" s="131"/>
      <c r="BP828" s="131"/>
      <c r="BQ828" s="131"/>
      <c r="BR828" s="131"/>
      <c r="BS828" s="131"/>
      <c r="BT828" s="131"/>
      <c r="BU828" s="131"/>
      <c r="BV828" s="131"/>
      <c r="BW828" s="131"/>
      <c r="BX828" s="131"/>
      <c r="BY828" s="131"/>
      <c r="BZ828" s="131"/>
      <c r="CA828" s="131"/>
      <c r="CB828" s="131"/>
      <c r="CC828" s="131"/>
      <c r="CD828" s="131"/>
      <c r="CE828" s="131"/>
      <c r="CF828" s="131"/>
      <c r="CG828" s="131"/>
      <c r="CH828" s="131"/>
      <c r="CI828" s="131"/>
      <c r="CJ828" s="131"/>
      <c r="CK828" s="131"/>
      <c r="CL828" s="131"/>
      <c r="CM828" s="131"/>
      <c r="CN828" s="131"/>
      <c r="CO828" s="131"/>
      <c r="CP828" s="131"/>
      <c r="CQ828" s="131"/>
    </row>
    <row r="829" spans="1:95" ht="15" hidden="1" x14ac:dyDescent="0.25">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c r="AA829" s="131"/>
      <c r="AB829" s="131"/>
      <c r="AC829" s="131"/>
      <c r="AD829" s="131"/>
      <c r="AE829" s="131"/>
      <c r="AF829" s="131"/>
      <c r="AG829" s="131"/>
      <c r="AH829" s="131"/>
      <c r="AI829" s="131"/>
      <c r="AJ829" s="131"/>
      <c r="AK829" s="131"/>
      <c r="AL829" s="131"/>
      <c r="AM829" s="131"/>
      <c r="AN829" s="131"/>
      <c r="AO829" s="131"/>
      <c r="AP829" s="131"/>
      <c r="AQ829" s="131"/>
      <c r="AR829" s="131"/>
      <c r="AS829" s="131"/>
      <c r="AT829" s="131"/>
      <c r="AU829" s="131"/>
      <c r="AV829" s="131"/>
      <c r="AW829" s="131"/>
      <c r="AX829" s="131"/>
      <c r="AY829" s="131"/>
      <c r="AZ829" s="131"/>
      <c r="BA829" s="131"/>
      <c r="BB829" s="131"/>
      <c r="BC829" s="131"/>
      <c r="BD829" s="131"/>
      <c r="BE829" s="131"/>
      <c r="BF829" s="131"/>
      <c r="BG829" s="131"/>
      <c r="BH829" s="131"/>
      <c r="BI829" s="131"/>
      <c r="BJ829" s="131"/>
      <c r="BK829" s="131"/>
      <c r="BL829" s="131"/>
      <c r="BM829" s="131"/>
      <c r="BN829" s="131"/>
      <c r="BO829" s="131"/>
      <c r="BP829" s="131"/>
      <c r="BQ829" s="131"/>
      <c r="BR829" s="131"/>
      <c r="BS829" s="131"/>
      <c r="BT829" s="131"/>
      <c r="BU829" s="131"/>
      <c r="BV829" s="131"/>
      <c r="BW829" s="131"/>
      <c r="BX829" s="131"/>
      <c r="BY829" s="131"/>
      <c r="BZ829" s="131"/>
      <c r="CA829" s="131"/>
      <c r="CB829" s="131"/>
      <c r="CC829" s="131"/>
      <c r="CD829" s="131"/>
      <c r="CE829" s="131"/>
      <c r="CF829" s="131"/>
      <c r="CG829" s="131"/>
      <c r="CH829" s="131"/>
      <c r="CI829" s="131"/>
      <c r="CJ829" s="131"/>
      <c r="CK829" s="131"/>
      <c r="CL829" s="131"/>
      <c r="CM829" s="131"/>
      <c r="CN829" s="131"/>
      <c r="CO829" s="131"/>
      <c r="CP829" s="131"/>
      <c r="CQ829" s="131"/>
    </row>
    <row r="830" spans="1:95" ht="15" hidden="1" x14ac:dyDescent="0.25">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c r="AN830" s="131"/>
      <c r="AO830" s="131"/>
      <c r="AP830" s="131"/>
      <c r="AQ830" s="131"/>
      <c r="AR830" s="131"/>
      <c r="AS830" s="131"/>
      <c r="AT830" s="131"/>
      <c r="AU830" s="131"/>
      <c r="AV830" s="131"/>
      <c r="AW830" s="131"/>
      <c r="AX830" s="131"/>
      <c r="AY830" s="131"/>
      <c r="AZ830" s="131"/>
      <c r="BA830" s="131"/>
      <c r="BB830" s="131"/>
      <c r="BC830" s="131"/>
      <c r="BD830" s="131"/>
      <c r="BE830" s="131"/>
      <c r="BF830" s="131"/>
      <c r="BG830" s="131"/>
      <c r="BH830" s="131"/>
      <c r="BI830" s="131"/>
      <c r="BJ830" s="131"/>
      <c r="BK830" s="131"/>
      <c r="BL830" s="131"/>
      <c r="BM830" s="131"/>
      <c r="BN830" s="131"/>
      <c r="BO830" s="131"/>
      <c r="BP830" s="131"/>
      <c r="BQ830" s="131"/>
      <c r="BR830" s="131"/>
      <c r="BS830" s="131"/>
      <c r="BT830" s="131"/>
      <c r="BU830" s="131"/>
      <c r="BV830" s="131"/>
      <c r="BW830" s="131"/>
      <c r="BX830" s="131"/>
      <c r="BY830" s="131"/>
      <c r="BZ830" s="131"/>
      <c r="CA830" s="131"/>
      <c r="CB830" s="131"/>
      <c r="CC830" s="131"/>
      <c r="CD830" s="131"/>
      <c r="CE830" s="131"/>
      <c r="CF830" s="131"/>
      <c r="CG830" s="131"/>
      <c r="CH830" s="131"/>
      <c r="CI830" s="131"/>
      <c r="CJ830" s="131"/>
      <c r="CK830" s="131"/>
      <c r="CL830" s="131"/>
      <c r="CM830" s="131"/>
      <c r="CN830" s="131"/>
      <c r="CO830" s="131"/>
      <c r="CP830" s="131"/>
      <c r="CQ830" s="131"/>
    </row>
    <row r="831" spans="1:95" ht="15" hidden="1" x14ac:dyDescent="0.25">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c r="AN831" s="131"/>
      <c r="AO831" s="131"/>
      <c r="AP831" s="131"/>
      <c r="AQ831" s="131"/>
      <c r="AR831" s="131"/>
      <c r="AS831" s="131"/>
      <c r="AT831" s="131"/>
      <c r="AU831" s="131"/>
      <c r="AV831" s="131"/>
      <c r="AW831" s="131"/>
      <c r="AX831" s="131"/>
      <c r="AY831" s="131"/>
      <c r="AZ831" s="131"/>
      <c r="BA831" s="131"/>
      <c r="BB831" s="131"/>
      <c r="BC831" s="131"/>
      <c r="BD831" s="131"/>
      <c r="BE831" s="131"/>
      <c r="BF831" s="131"/>
      <c r="BG831" s="131"/>
      <c r="BH831" s="131"/>
      <c r="BI831" s="131"/>
      <c r="BJ831" s="131"/>
      <c r="BK831" s="131"/>
      <c r="BL831" s="131"/>
      <c r="BM831" s="131"/>
      <c r="BN831" s="131"/>
      <c r="BO831" s="131"/>
      <c r="BP831" s="131"/>
      <c r="BQ831" s="131"/>
      <c r="BR831" s="131"/>
      <c r="BS831" s="131"/>
      <c r="BT831" s="131"/>
      <c r="BU831" s="131"/>
      <c r="BV831" s="131"/>
      <c r="BW831" s="131"/>
      <c r="BX831" s="131"/>
      <c r="BY831" s="131"/>
      <c r="BZ831" s="131"/>
      <c r="CA831" s="131"/>
      <c r="CB831" s="131"/>
      <c r="CC831" s="131"/>
      <c r="CD831" s="131"/>
      <c r="CE831" s="131"/>
      <c r="CF831" s="131"/>
      <c r="CG831" s="131"/>
      <c r="CH831" s="131"/>
      <c r="CI831" s="131"/>
      <c r="CJ831" s="131"/>
      <c r="CK831" s="131"/>
      <c r="CL831" s="131"/>
      <c r="CM831" s="131"/>
      <c r="CN831" s="131"/>
      <c r="CO831" s="131"/>
      <c r="CP831" s="131"/>
      <c r="CQ831" s="131"/>
    </row>
    <row r="832" spans="1:95" ht="15" hidden="1" x14ac:dyDescent="0.25">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c r="AA832" s="131"/>
      <c r="AB832" s="131"/>
      <c r="AC832" s="131"/>
      <c r="AD832" s="131"/>
      <c r="AE832" s="131"/>
      <c r="AF832" s="131"/>
      <c r="AG832" s="131"/>
      <c r="AH832" s="131"/>
      <c r="AI832" s="131"/>
      <c r="AJ832" s="131"/>
      <c r="AK832" s="131"/>
      <c r="AL832" s="131"/>
      <c r="AM832" s="131"/>
      <c r="AN832" s="131"/>
      <c r="AO832" s="131"/>
      <c r="AP832" s="131"/>
      <c r="AQ832" s="131"/>
      <c r="AR832" s="131"/>
      <c r="AS832" s="131"/>
      <c r="AT832" s="131"/>
      <c r="AU832" s="131"/>
      <c r="AV832" s="131"/>
      <c r="AW832" s="131"/>
      <c r="AX832" s="131"/>
      <c r="AY832" s="131"/>
      <c r="AZ832" s="131"/>
      <c r="BA832" s="131"/>
      <c r="BB832" s="131"/>
      <c r="BC832" s="131"/>
      <c r="BD832" s="131"/>
      <c r="BE832" s="131"/>
      <c r="BF832" s="131"/>
      <c r="BG832" s="131"/>
      <c r="BH832" s="131"/>
      <c r="BI832" s="131"/>
      <c r="BJ832" s="131"/>
      <c r="BK832" s="131"/>
      <c r="BL832" s="131"/>
      <c r="BM832" s="131"/>
      <c r="BN832" s="131"/>
      <c r="BO832" s="131"/>
      <c r="BP832" s="131"/>
      <c r="BQ832" s="131"/>
      <c r="BR832" s="131"/>
      <c r="BS832" s="131"/>
      <c r="BT832" s="131"/>
      <c r="BU832" s="131"/>
      <c r="BV832" s="131"/>
      <c r="BW832" s="131"/>
      <c r="BX832" s="131"/>
      <c r="BY832" s="131"/>
      <c r="BZ832" s="131"/>
      <c r="CA832" s="131"/>
      <c r="CB832" s="131"/>
      <c r="CC832" s="131"/>
      <c r="CD832" s="131"/>
      <c r="CE832" s="131"/>
      <c r="CF832" s="131"/>
      <c r="CG832" s="131"/>
      <c r="CH832" s="131"/>
      <c r="CI832" s="131"/>
      <c r="CJ832" s="131"/>
      <c r="CK832" s="131"/>
      <c r="CL832" s="131"/>
      <c r="CM832" s="131"/>
      <c r="CN832" s="131"/>
      <c r="CO832" s="131"/>
      <c r="CP832" s="131"/>
      <c r="CQ832" s="131"/>
    </row>
    <row r="833" spans="1:95" ht="15" hidden="1" x14ac:dyDescent="0.25">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c r="AA833" s="131"/>
      <c r="AB833" s="131"/>
      <c r="AC833" s="131"/>
      <c r="AD833" s="131"/>
      <c r="AE833" s="131"/>
      <c r="AF833" s="131"/>
      <c r="AG833" s="131"/>
      <c r="AH833" s="131"/>
      <c r="AI833" s="131"/>
      <c r="AJ833" s="131"/>
      <c r="AK833" s="131"/>
      <c r="AL833" s="131"/>
      <c r="AM833" s="131"/>
      <c r="AN833" s="131"/>
      <c r="AO833" s="131"/>
      <c r="AP833" s="131"/>
      <c r="AQ833" s="131"/>
      <c r="AR833" s="131"/>
      <c r="AS833" s="131"/>
      <c r="AT833" s="131"/>
      <c r="AU833" s="131"/>
      <c r="AV833" s="131"/>
      <c r="AW833" s="131"/>
      <c r="AX833" s="131"/>
      <c r="AY833" s="131"/>
      <c r="AZ833" s="131"/>
      <c r="BA833" s="131"/>
      <c r="BB833" s="131"/>
      <c r="BC833" s="131"/>
      <c r="BD833" s="131"/>
      <c r="BE833" s="131"/>
      <c r="BF833" s="131"/>
      <c r="BG833" s="131"/>
      <c r="BH833" s="131"/>
      <c r="BI833" s="131"/>
      <c r="BJ833" s="131"/>
      <c r="BK833" s="131"/>
      <c r="BL833" s="131"/>
      <c r="BM833" s="131"/>
      <c r="BN833" s="131"/>
      <c r="BO833" s="131"/>
      <c r="BP833" s="131"/>
      <c r="BQ833" s="131"/>
      <c r="BR833" s="131"/>
      <c r="BS833" s="131"/>
      <c r="BT833" s="131"/>
      <c r="BU833" s="131"/>
      <c r="BV833" s="131"/>
      <c r="BW833" s="131"/>
      <c r="BX833" s="131"/>
      <c r="BY833" s="131"/>
      <c r="BZ833" s="131"/>
      <c r="CA833" s="131"/>
      <c r="CB833" s="131"/>
      <c r="CC833" s="131"/>
      <c r="CD833" s="131"/>
      <c r="CE833" s="131"/>
      <c r="CF833" s="131"/>
      <c r="CG833" s="131"/>
      <c r="CH833" s="131"/>
      <c r="CI833" s="131"/>
      <c r="CJ833" s="131"/>
      <c r="CK833" s="131"/>
      <c r="CL833" s="131"/>
      <c r="CM833" s="131"/>
      <c r="CN833" s="131"/>
      <c r="CO833" s="131"/>
      <c r="CP833" s="131"/>
      <c r="CQ833" s="131"/>
    </row>
    <row r="834" spans="1:95" ht="15" hidden="1" x14ac:dyDescent="0.25">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c r="AA834" s="131"/>
      <c r="AB834" s="131"/>
      <c r="AC834" s="131"/>
      <c r="AD834" s="131"/>
      <c r="AE834" s="131"/>
      <c r="AF834" s="131"/>
      <c r="AG834" s="131"/>
      <c r="AH834" s="131"/>
      <c r="AI834" s="131"/>
      <c r="AJ834" s="131"/>
      <c r="AK834" s="131"/>
      <c r="AL834" s="131"/>
      <c r="AM834" s="131"/>
      <c r="AN834" s="131"/>
      <c r="AO834" s="131"/>
      <c r="AP834" s="131"/>
      <c r="AQ834" s="131"/>
      <c r="AR834" s="131"/>
      <c r="AS834" s="131"/>
      <c r="AT834" s="131"/>
      <c r="AU834" s="131"/>
      <c r="AV834" s="131"/>
      <c r="AW834" s="131"/>
      <c r="AX834" s="131"/>
      <c r="AY834" s="131"/>
      <c r="AZ834" s="131"/>
      <c r="BA834" s="131"/>
      <c r="BB834" s="131"/>
      <c r="BC834" s="131"/>
      <c r="BD834" s="131"/>
      <c r="BE834" s="131"/>
      <c r="BF834" s="131"/>
      <c r="BG834" s="131"/>
      <c r="BH834" s="131"/>
      <c r="BI834" s="131"/>
      <c r="BJ834" s="131"/>
      <c r="BK834" s="131"/>
      <c r="BL834" s="131"/>
      <c r="BM834" s="131"/>
      <c r="BN834" s="131"/>
      <c r="BO834" s="131"/>
      <c r="BP834" s="131"/>
      <c r="BQ834" s="131"/>
      <c r="BR834" s="131"/>
      <c r="BS834" s="131"/>
      <c r="BT834" s="131"/>
      <c r="BU834" s="131"/>
      <c r="BV834" s="131"/>
      <c r="BW834" s="131"/>
      <c r="BX834" s="131"/>
      <c r="BY834" s="131"/>
      <c r="BZ834" s="131"/>
      <c r="CA834" s="131"/>
      <c r="CB834" s="131"/>
      <c r="CC834" s="131"/>
      <c r="CD834" s="131"/>
      <c r="CE834" s="131"/>
      <c r="CF834" s="131"/>
      <c r="CG834" s="131"/>
      <c r="CH834" s="131"/>
      <c r="CI834" s="131"/>
      <c r="CJ834" s="131"/>
      <c r="CK834" s="131"/>
      <c r="CL834" s="131"/>
      <c r="CM834" s="131"/>
      <c r="CN834" s="131"/>
      <c r="CO834" s="131"/>
      <c r="CP834" s="131"/>
      <c r="CQ834" s="131"/>
    </row>
    <row r="835" spans="1:95" ht="15" hidden="1" x14ac:dyDescent="0.25">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c r="AA835" s="131"/>
      <c r="AB835" s="131"/>
      <c r="AC835" s="131"/>
      <c r="AD835" s="131"/>
      <c r="AE835" s="131"/>
      <c r="AF835" s="131"/>
      <c r="AG835" s="131"/>
      <c r="AH835" s="131"/>
      <c r="AI835" s="131"/>
      <c r="AJ835" s="131"/>
      <c r="AK835" s="131"/>
      <c r="AL835" s="131"/>
      <c r="AM835" s="131"/>
      <c r="AN835" s="131"/>
      <c r="AO835" s="131"/>
      <c r="AP835" s="131"/>
      <c r="AQ835" s="131"/>
      <c r="AR835" s="131"/>
      <c r="AS835" s="131"/>
      <c r="AT835" s="131"/>
      <c r="AU835" s="131"/>
      <c r="AV835" s="131"/>
      <c r="AW835" s="131"/>
      <c r="AX835" s="131"/>
      <c r="AY835" s="131"/>
      <c r="AZ835" s="131"/>
      <c r="BA835" s="131"/>
      <c r="BB835" s="131"/>
      <c r="BC835" s="131"/>
      <c r="BD835" s="131"/>
      <c r="BE835" s="131"/>
      <c r="BF835" s="131"/>
      <c r="BG835" s="131"/>
      <c r="BH835" s="131"/>
      <c r="BI835" s="131"/>
      <c r="BJ835" s="131"/>
      <c r="BK835" s="131"/>
      <c r="BL835" s="131"/>
      <c r="BM835" s="131"/>
      <c r="BN835" s="131"/>
      <c r="BO835" s="131"/>
      <c r="BP835" s="131"/>
      <c r="BQ835" s="131"/>
      <c r="BR835" s="131"/>
      <c r="BS835" s="131"/>
      <c r="BT835" s="131"/>
      <c r="BU835" s="131"/>
      <c r="BV835" s="131"/>
      <c r="BW835" s="131"/>
      <c r="BX835" s="131"/>
      <c r="BY835" s="131"/>
      <c r="BZ835" s="131"/>
      <c r="CA835" s="131"/>
      <c r="CB835" s="131"/>
      <c r="CC835" s="131"/>
      <c r="CD835" s="131"/>
      <c r="CE835" s="131"/>
      <c r="CF835" s="131"/>
      <c r="CG835" s="131"/>
      <c r="CH835" s="131"/>
      <c r="CI835" s="131"/>
      <c r="CJ835" s="131"/>
      <c r="CK835" s="131"/>
      <c r="CL835" s="131"/>
      <c r="CM835" s="131"/>
      <c r="CN835" s="131"/>
      <c r="CO835" s="131"/>
      <c r="CP835" s="131"/>
      <c r="CQ835" s="131"/>
    </row>
    <row r="836" spans="1:95" ht="15" hidden="1" x14ac:dyDescent="0.25">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31"/>
      <c r="AE836" s="131"/>
      <c r="AF836" s="131"/>
      <c r="AG836" s="131"/>
      <c r="AH836" s="131"/>
      <c r="AI836" s="131"/>
      <c r="AJ836" s="131"/>
      <c r="AK836" s="131"/>
      <c r="AL836" s="131"/>
      <c r="AM836" s="131"/>
      <c r="AN836" s="131"/>
      <c r="AO836" s="131"/>
      <c r="AP836" s="131"/>
      <c r="AQ836" s="131"/>
      <c r="AR836" s="131"/>
      <c r="AS836" s="131"/>
      <c r="AT836" s="131"/>
      <c r="AU836" s="131"/>
      <c r="AV836" s="131"/>
      <c r="AW836" s="131"/>
      <c r="AX836" s="131"/>
      <c r="AY836" s="131"/>
      <c r="AZ836" s="131"/>
      <c r="BA836" s="131"/>
      <c r="BB836" s="131"/>
      <c r="BC836" s="131"/>
      <c r="BD836" s="131"/>
      <c r="BE836" s="131"/>
      <c r="BF836" s="131"/>
      <c r="BG836" s="131"/>
      <c r="BH836" s="131"/>
      <c r="BI836" s="131"/>
      <c r="BJ836" s="131"/>
      <c r="BK836" s="131"/>
      <c r="BL836" s="131"/>
      <c r="BM836" s="131"/>
      <c r="BN836" s="131"/>
      <c r="BO836" s="131"/>
      <c r="BP836" s="131"/>
      <c r="BQ836" s="131"/>
      <c r="BR836" s="131"/>
      <c r="BS836" s="131"/>
      <c r="BT836" s="131"/>
      <c r="BU836" s="131"/>
      <c r="BV836" s="131"/>
      <c r="BW836" s="131"/>
      <c r="BX836" s="131"/>
      <c r="BY836" s="131"/>
      <c r="BZ836" s="131"/>
      <c r="CA836" s="131"/>
      <c r="CB836" s="131"/>
      <c r="CC836" s="131"/>
      <c r="CD836" s="131"/>
      <c r="CE836" s="131"/>
      <c r="CF836" s="131"/>
      <c r="CG836" s="131"/>
      <c r="CH836" s="131"/>
      <c r="CI836" s="131"/>
      <c r="CJ836" s="131"/>
      <c r="CK836" s="131"/>
      <c r="CL836" s="131"/>
      <c r="CM836" s="131"/>
      <c r="CN836" s="131"/>
      <c r="CO836" s="131"/>
      <c r="CP836" s="131"/>
      <c r="CQ836" s="131"/>
    </row>
    <row r="837" spans="1:95" ht="15" hidden="1" x14ac:dyDescent="0.25">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1"/>
      <c r="AH837" s="131"/>
      <c r="AI837" s="131"/>
      <c r="AJ837" s="131"/>
      <c r="AK837" s="131"/>
      <c r="AL837" s="131"/>
      <c r="AM837" s="131"/>
      <c r="AN837" s="131"/>
      <c r="AO837" s="131"/>
      <c r="AP837" s="131"/>
      <c r="AQ837" s="131"/>
      <c r="AR837" s="131"/>
      <c r="AS837" s="131"/>
      <c r="AT837" s="131"/>
      <c r="AU837" s="131"/>
      <c r="AV837" s="131"/>
      <c r="AW837" s="131"/>
      <c r="AX837" s="131"/>
      <c r="AY837" s="131"/>
      <c r="AZ837" s="131"/>
      <c r="BA837" s="131"/>
      <c r="BB837" s="131"/>
      <c r="BC837" s="131"/>
      <c r="BD837" s="131"/>
      <c r="BE837" s="131"/>
      <c r="BF837" s="131"/>
      <c r="BG837" s="131"/>
      <c r="BH837" s="131"/>
      <c r="BI837" s="131"/>
      <c r="BJ837" s="131"/>
      <c r="BK837" s="131"/>
      <c r="BL837" s="131"/>
      <c r="BM837" s="131"/>
      <c r="BN837" s="131"/>
      <c r="BO837" s="131"/>
      <c r="BP837" s="131"/>
      <c r="BQ837" s="131"/>
      <c r="BR837" s="131"/>
      <c r="BS837" s="131"/>
      <c r="BT837" s="131"/>
      <c r="BU837" s="131"/>
      <c r="BV837" s="131"/>
      <c r="BW837" s="131"/>
      <c r="BX837" s="131"/>
      <c r="BY837" s="131"/>
      <c r="BZ837" s="131"/>
      <c r="CA837" s="131"/>
      <c r="CB837" s="131"/>
      <c r="CC837" s="131"/>
      <c r="CD837" s="131"/>
      <c r="CE837" s="131"/>
      <c r="CF837" s="131"/>
      <c r="CG837" s="131"/>
      <c r="CH837" s="131"/>
      <c r="CI837" s="131"/>
      <c r="CJ837" s="131"/>
      <c r="CK837" s="131"/>
      <c r="CL837" s="131"/>
      <c r="CM837" s="131"/>
      <c r="CN837" s="131"/>
      <c r="CO837" s="131"/>
      <c r="CP837" s="131"/>
      <c r="CQ837" s="131"/>
    </row>
    <row r="838" spans="1:95" ht="15" hidden="1" x14ac:dyDescent="0.25">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1"/>
      <c r="AH838" s="131"/>
      <c r="AI838" s="131"/>
      <c r="AJ838" s="131"/>
      <c r="AK838" s="131"/>
      <c r="AL838" s="131"/>
      <c r="AM838" s="131"/>
      <c r="AN838" s="131"/>
      <c r="AO838" s="131"/>
      <c r="AP838" s="131"/>
      <c r="AQ838" s="131"/>
      <c r="AR838" s="131"/>
      <c r="AS838" s="131"/>
      <c r="AT838" s="131"/>
      <c r="AU838" s="131"/>
      <c r="AV838" s="131"/>
      <c r="AW838" s="131"/>
      <c r="AX838" s="131"/>
      <c r="AY838" s="131"/>
      <c r="AZ838" s="131"/>
      <c r="BA838" s="131"/>
      <c r="BB838" s="131"/>
      <c r="BC838" s="131"/>
      <c r="BD838" s="131"/>
      <c r="BE838" s="131"/>
      <c r="BF838" s="131"/>
      <c r="BG838" s="131"/>
      <c r="BH838" s="131"/>
      <c r="BI838" s="131"/>
      <c r="BJ838" s="131"/>
      <c r="BK838" s="131"/>
      <c r="BL838" s="131"/>
      <c r="BM838" s="131"/>
      <c r="BN838" s="131"/>
      <c r="BO838" s="131"/>
      <c r="BP838" s="131"/>
      <c r="BQ838" s="131"/>
      <c r="BR838" s="131"/>
      <c r="BS838" s="131"/>
      <c r="BT838" s="131"/>
      <c r="BU838" s="131"/>
      <c r="BV838" s="131"/>
      <c r="BW838" s="131"/>
      <c r="BX838" s="131"/>
      <c r="BY838" s="131"/>
      <c r="BZ838" s="131"/>
      <c r="CA838" s="131"/>
      <c r="CB838" s="131"/>
      <c r="CC838" s="131"/>
      <c r="CD838" s="131"/>
      <c r="CE838" s="131"/>
      <c r="CF838" s="131"/>
      <c r="CG838" s="131"/>
      <c r="CH838" s="131"/>
      <c r="CI838" s="131"/>
      <c r="CJ838" s="131"/>
      <c r="CK838" s="131"/>
      <c r="CL838" s="131"/>
      <c r="CM838" s="131"/>
      <c r="CN838" s="131"/>
      <c r="CO838" s="131"/>
      <c r="CP838" s="131"/>
      <c r="CQ838" s="131"/>
    </row>
    <row r="839" spans="1:95" ht="15" hidden="1" x14ac:dyDescent="0.25">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1"/>
      <c r="AH839" s="131"/>
      <c r="AI839" s="131"/>
      <c r="AJ839" s="131"/>
      <c r="AK839" s="131"/>
      <c r="AL839" s="131"/>
      <c r="AM839" s="131"/>
      <c r="AN839" s="131"/>
      <c r="AO839" s="131"/>
      <c r="AP839" s="131"/>
      <c r="AQ839" s="131"/>
      <c r="AR839" s="131"/>
      <c r="AS839" s="131"/>
      <c r="AT839" s="131"/>
      <c r="AU839" s="131"/>
      <c r="AV839" s="131"/>
      <c r="AW839" s="131"/>
      <c r="AX839" s="131"/>
      <c r="AY839" s="131"/>
      <c r="AZ839" s="131"/>
      <c r="BA839" s="131"/>
      <c r="BB839" s="131"/>
      <c r="BC839" s="131"/>
      <c r="BD839" s="131"/>
      <c r="BE839" s="131"/>
      <c r="BF839" s="131"/>
      <c r="BG839" s="131"/>
      <c r="BH839" s="131"/>
      <c r="BI839" s="131"/>
      <c r="BJ839" s="131"/>
      <c r="BK839" s="131"/>
      <c r="BL839" s="131"/>
      <c r="BM839" s="131"/>
      <c r="BN839" s="131"/>
      <c r="BO839" s="131"/>
      <c r="BP839" s="131"/>
      <c r="BQ839" s="131"/>
      <c r="BR839" s="131"/>
      <c r="BS839" s="131"/>
      <c r="BT839" s="131"/>
      <c r="BU839" s="131"/>
      <c r="BV839" s="131"/>
      <c r="BW839" s="131"/>
      <c r="BX839" s="131"/>
      <c r="BY839" s="131"/>
      <c r="BZ839" s="131"/>
      <c r="CA839" s="131"/>
      <c r="CB839" s="131"/>
      <c r="CC839" s="131"/>
      <c r="CD839" s="131"/>
      <c r="CE839" s="131"/>
      <c r="CF839" s="131"/>
      <c r="CG839" s="131"/>
      <c r="CH839" s="131"/>
      <c r="CI839" s="131"/>
      <c r="CJ839" s="131"/>
      <c r="CK839" s="131"/>
      <c r="CL839" s="131"/>
      <c r="CM839" s="131"/>
      <c r="CN839" s="131"/>
      <c r="CO839" s="131"/>
      <c r="CP839" s="131"/>
      <c r="CQ839" s="131"/>
    </row>
    <row r="840" spans="1:95" ht="15" hidden="1" x14ac:dyDescent="0.25">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c r="AN840" s="131"/>
      <c r="AO840" s="131"/>
      <c r="AP840" s="131"/>
      <c r="AQ840" s="131"/>
      <c r="AR840" s="131"/>
      <c r="AS840" s="131"/>
      <c r="AT840" s="131"/>
      <c r="AU840" s="131"/>
      <c r="AV840" s="131"/>
      <c r="AW840" s="131"/>
      <c r="AX840" s="131"/>
      <c r="AY840" s="131"/>
      <c r="AZ840" s="131"/>
      <c r="BA840" s="131"/>
      <c r="BB840" s="131"/>
      <c r="BC840" s="131"/>
      <c r="BD840" s="131"/>
      <c r="BE840" s="131"/>
      <c r="BF840" s="131"/>
      <c r="BG840" s="131"/>
      <c r="BH840" s="131"/>
      <c r="BI840" s="131"/>
      <c r="BJ840" s="131"/>
      <c r="BK840" s="131"/>
      <c r="BL840" s="131"/>
      <c r="BM840" s="131"/>
      <c r="BN840" s="131"/>
      <c r="BO840" s="131"/>
      <c r="BP840" s="131"/>
      <c r="BQ840" s="131"/>
      <c r="BR840" s="131"/>
      <c r="BS840" s="131"/>
      <c r="BT840" s="131"/>
      <c r="BU840" s="131"/>
      <c r="BV840" s="131"/>
      <c r="BW840" s="131"/>
      <c r="BX840" s="131"/>
      <c r="BY840" s="131"/>
      <c r="BZ840" s="131"/>
      <c r="CA840" s="131"/>
      <c r="CB840" s="131"/>
      <c r="CC840" s="131"/>
      <c r="CD840" s="131"/>
      <c r="CE840" s="131"/>
      <c r="CF840" s="131"/>
      <c r="CG840" s="131"/>
      <c r="CH840" s="131"/>
      <c r="CI840" s="131"/>
      <c r="CJ840" s="131"/>
      <c r="CK840" s="131"/>
      <c r="CL840" s="131"/>
      <c r="CM840" s="131"/>
      <c r="CN840" s="131"/>
      <c r="CO840" s="131"/>
      <c r="CP840" s="131"/>
      <c r="CQ840" s="131"/>
    </row>
    <row r="841" spans="1:95" ht="15" hidden="1" x14ac:dyDescent="0.25">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31"/>
      <c r="AE841" s="131"/>
      <c r="AF841" s="131"/>
      <c r="AG841" s="131"/>
      <c r="AH841" s="131"/>
      <c r="AI841" s="131"/>
      <c r="AJ841" s="131"/>
      <c r="AK841" s="131"/>
      <c r="AL841" s="131"/>
      <c r="AM841" s="131"/>
      <c r="AN841" s="131"/>
      <c r="AO841" s="131"/>
      <c r="AP841" s="131"/>
      <c r="AQ841" s="131"/>
      <c r="AR841" s="131"/>
      <c r="AS841" s="131"/>
      <c r="AT841" s="131"/>
      <c r="AU841" s="131"/>
      <c r="AV841" s="131"/>
      <c r="AW841" s="131"/>
      <c r="AX841" s="131"/>
      <c r="AY841" s="131"/>
      <c r="AZ841" s="131"/>
      <c r="BA841" s="131"/>
      <c r="BB841" s="131"/>
      <c r="BC841" s="131"/>
      <c r="BD841" s="131"/>
      <c r="BE841" s="131"/>
      <c r="BF841" s="131"/>
      <c r="BG841" s="131"/>
      <c r="BH841" s="131"/>
      <c r="BI841" s="131"/>
      <c r="BJ841" s="131"/>
      <c r="BK841" s="131"/>
      <c r="BL841" s="131"/>
      <c r="BM841" s="131"/>
      <c r="BN841" s="131"/>
      <c r="BO841" s="131"/>
      <c r="BP841" s="131"/>
      <c r="BQ841" s="131"/>
      <c r="BR841" s="131"/>
      <c r="BS841" s="131"/>
      <c r="BT841" s="131"/>
      <c r="BU841" s="131"/>
      <c r="BV841" s="131"/>
      <c r="BW841" s="131"/>
      <c r="BX841" s="131"/>
      <c r="BY841" s="131"/>
      <c r="BZ841" s="131"/>
      <c r="CA841" s="131"/>
      <c r="CB841" s="131"/>
      <c r="CC841" s="131"/>
      <c r="CD841" s="131"/>
      <c r="CE841" s="131"/>
      <c r="CF841" s="131"/>
      <c r="CG841" s="131"/>
      <c r="CH841" s="131"/>
      <c r="CI841" s="131"/>
      <c r="CJ841" s="131"/>
      <c r="CK841" s="131"/>
      <c r="CL841" s="131"/>
      <c r="CM841" s="131"/>
      <c r="CN841" s="131"/>
      <c r="CO841" s="131"/>
      <c r="CP841" s="131"/>
      <c r="CQ841" s="131"/>
    </row>
    <row r="842" spans="1:95" ht="15" hidden="1" x14ac:dyDescent="0.25">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c r="AC842" s="131"/>
      <c r="AD842" s="131"/>
      <c r="AE842" s="131"/>
      <c r="AF842" s="131"/>
      <c r="AG842" s="131"/>
      <c r="AH842" s="131"/>
      <c r="AI842" s="131"/>
      <c r="AJ842" s="131"/>
      <c r="AK842" s="131"/>
      <c r="AL842" s="131"/>
      <c r="AM842" s="131"/>
      <c r="AN842" s="131"/>
      <c r="AO842" s="131"/>
      <c r="AP842" s="131"/>
      <c r="AQ842" s="131"/>
      <c r="AR842" s="131"/>
      <c r="AS842" s="131"/>
      <c r="AT842" s="131"/>
      <c r="AU842" s="131"/>
      <c r="AV842" s="131"/>
      <c r="AW842" s="131"/>
      <c r="AX842" s="131"/>
      <c r="AY842" s="131"/>
      <c r="AZ842" s="131"/>
      <c r="BA842" s="131"/>
      <c r="BB842" s="131"/>
      <c r="BC842" s="131"/>
      <c r="BD842" s="131"/>
      <c r="BE842" s="131"/>
      <c r="BF842" s="131"/>
      <c r="BG842" s="131"/>
      <c r="BH842" s="131"/>
      <c r="BI842" s="131"/>
      <c r="BJ842" s="131"/>
      <c r="BK842" s="131"/>
      <c r="BL842" s="131"/>
      <c r="BM842" s="131"/>
      <c r="BN842" s="131"/>
      <c r="BO842" s="131"/>
      <c r="BP842" s="131"/>
      <c r="BQ842" s="131"/>
      <c r="BR842" s="131"/>
      <c r="BS842" s="131"/>
      <c r="BT842" s="131"/>
      <c r="BU842" s="131"/>
      <c r="BV842" s="131"/>
      <c r="BW842" s="131"/>
      <c r="BX842" s="131"/>
      <c r="BY842" s="131"/>
      <c r="BZ842" s="131"/>
      <c r="CA842" s="131"/>
      <c r="CB842" s="131"/>
      <c r="CC842" s="131"/>
      <c r="CD842" s="131"/>
      <c r="CE842" s="131"/>
      <c r="CF842" s="131"/>
      <c r="CG842" s="131"/>
      <c r="CH842" s="131"/>
      <c r="CI842" s="131"/>
      <c r="CJ842" s="131"/>
      <c r="CK842" s="131"/>
      <c r="CL842" s="131"/>
      <c r="CM842" s="131"/>
      <c r="CN842" s="131"/>
      <c r="CO842" s="131"/>
      <c r="CP842" s="131"/>
      <c r="CQ842" s="131"/>
    </row>
    <row r="843" spans="1:95" ht="15" hidden="1" x14ac:dyDescent="0.25">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c r="AC843" s="131"/>
      <c r="AD843" s="131"/>
      <c r="AE843" s="131"/>
      <c r="AF843" s="131"/>
      <c r="AG843" s="131"/>
      <c r="AH843" s="131"/>
      <c r="AI843" s="131"/>
      <c r="AJ843" s="131"/>
      <c r="AK843" s="131"/>
      <c r="AL843" s="131"/>
      <c r="AM843" s="131"/>
      <c r="AN843" s="131"/>
      <c r="AO843" s="131"/>
      <c r="AP843" s="131"/>
      <c r="AQ843" s="131"/>
      <c r="AR843" s="131"/>
      <c r="AS843" s="131"/>
      <c r="AT843" s="131"/>
      <c r="AU843" s="131"/>
      <c r="AV843" s="131"/>
      <c r="AW843" s="131"/>
      <c r="AX843" s="131"/>
      <c r="AY843" s="131"/>
      <c r="AZ843" s="131"/>
      <c r="BA843" s="131"/>
      <c r="BB843" s="131"/>
      <c r="BC843" s="131"/>
      <c r="BD843" s="131"/>
      <c r="BE843" s="131"/>
      <c r="BF843" s="131"/>
      <c r="BG843" s="131"/>
      <c r="BH843" s="131"/>
      <c r="BI843" s="131"/>
      <c r="BJ843" s="131"/>
      <c r="BK843" s="131"/>
      <c r="BL843" s="131"/>
      <c r="BM843" s="131"/>
      <c r="BN843" s="131"/>
      <c r="BO843" s="131"/>
      <c r="BP843" s="131"/>
      <c r="BQ843" s="131"/>
      <c r="BR843" s="131"/>
      <c r="BS843" s="131"/>
      <c r="BT843" s="131"/>
      <c r="BU843" s="131"/>
      <c r="BV843" s="131"/>
      <c r="BW843" s="131"/>
      <c r="BX843" s="131"/>
      <c r="BY843" s="131"/>
      <c r="BZ843" s="131"/>
      <c r="CA843" s="131"/>
      <c r="CB843" s="131"/>
      <c r="CC843" s="131"/>
      <c r="CD843" s="131"/>
      <c r="CE843" s="131"/>
      <c r="CF843" s="131"/>
      <c r="CG843" s="131"/>
      <c r="CH843" s="131"/>
      <c r="CI843" s="131"/>
      <c r="CJ843" s="131"/>
      <c r="CK843" s="131"/>
      <c r="CL843" s="131"/>
      <c r="CM843" s="131"/>
      <c r="CN843" s="131"/>
      <c r="CO843" s="131"/>
      <c r="CP843" s="131"/>
      <c r="CQ843" s="131"/>
    </row>
    <row r="844" spans="1:95" ht="15" hidden="1" x14ac:dyDescent="0.25">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131"/>
      <c r="AL844" s="131"/>
      <c r="AM844" s="131"/>
      <c r="AN844" s="131"/>
      <c r="AO844" s="131"/>
      <c r="AP844" s="131"/>
      <c r="AQ844" s="131"/>
      <c r="AR844" s="131"/>
      <c r="AS844" s="131"/>
      <c r="AT844" s="131"/>
      <c r="AU844" s="131"/>
      <c r="AV844" s="131"/>
      <c r="AW844" s="131"/>
      <c r="AX844" s="131"/>
      <c r="AY844" s="131"/>
      <c r="AZ844" s="131"/>
      <c r="BA844" s="131"/>
      <c r="BB844" s="131"/>
      <c r="BC844" s="131"/>
      <c r="BD844" s="131"/>
      <c r="BE844" s="131"/>
      <c r="BF844" s="131"/>
      <c r="BG844" s="131"/>
      <c r="BH844" s="131"/>
      <c r="BI844" s="131"/>
      <c r="BJ844" s="131"/>
      <c r="BK844" s="131"/>
      <c r="BL844" s="131"/>
      <c r="BM844" s="131"/>
      <c r="BN844" s="131"/>
      <c r="BO844" s="131"/>
      <c r="BP844" s="131"/>
      <c r="BQ844" s="131"/>
      <c r="BR844" s="131"/>
      <c r="BS844" s="131"/>
      <c r="BT844" s="131"/>
      <c r="BU844" s="131"/>
      <c r="BV844" s="131"/>
      <c r="BW844" s="131"/>
      <c r="BX844" s="131"/>
      <c r="BY844" s="131"/>
      <c r="BZ844" s="131"/>
      <c r="CA844" s="131"/>
      <c r="CB844" s="131"/>
      <c r="CC844" s="131"/>
      <c r="CD844" s="131"/>
      <c r="CE844" s="131"/>
      <c r="CF844" s="131"/>
      <c r="CG844" s="131"/>
      <c r="CH844" s="131"/>
      <c r="CI844" s="131"/>
      <c r="CJ844" s="131"/>
      <c r="CK844" s="131"/>
      <c r="CL844" s="131"/>
      <c r="CM844" s="131"/>
      <c r="CN844" s="131"/>
      <c r="CO844" s="131"/>
      <c r="CP844" s="131"/>
      <c r="CQ844" s="131"/>
    </row>
    <row r="845" spans="1:95" ht="15" hidden="1" x14ac:dyDescent="0.25">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131"/>
      <c r="AL845" s="131"/>
      <c r="AM845" s="131"/>
      <c r="AN845" s="131"/>
      <c r="AO845" s="131"/>
      <c r="AP845" s="131"/>
      <c r="AQ845" s="131"/>
      <c r="AR845" s="131"/>
      <c r="AS845" s="131"/>
      <c r="AT845" s="131"/>
      <c r="AU845" s="131"/>
      <c r="AV845" s="131"/>
      <c r="AW845" s="131"/>
      <c r="AX845" s="131"/>
      <c r="AY845" s="131"/>
      <c r="AZ845" s="131"/>
      <c r="BA845" s="131"/>
      <c r="BB845" s="131"/>
      <c r="BC845" s="131"/>
      <c r="BD845" s="131"/>
      <c r="BE845" s="131"/>
      <c r="BF845" s="131"/>
      <c r="BG845" s="131"/>
      <c r="BH845" s="131"/>
      <c r="BI845" s="131"/>
      <c r="BJ845" s="131"/>
      <c r="BK845" s="131"/>
      <c r="BL845" s="131"/>
      <c r="BM845" s="131"/>
      <c r="BN845" s="131"/>
      <c r="BO845" s="131"/>
      <c r="BP845" s="131"/>
      <c r="BQ845" s="131"/>
      <c r="BR845" s="131"/>
      <c r="BS845" s="131"/>
      <c r="BT845" s="131"/>
      <c r="BU845" s="131"/>
      <c r="BV845" s="131"/>
      <c r="BW845" s="131"/>
      <c r="BX845" s="131"/>
      <c r="BY845" s="131"/>
      <c r="BZ845" s="131"/>
      <c r="CA845" s="131"/>
      <c r="CB845" s="131"/>
      <c r="CC845" s="131"/>
      <c r="CD845" s="131"/>
      <c r="CE845" s="131"/>
      <c r="CF845" s="131"/>
      <c r="CG845" s="131"/>
      <c r="CH845" s="131"/>
      <c r="CI845" s="131"/>
      <c r="CJ845" s="131"/>
      <c r="CK845" s="131"/>
      <c r="CL845" s="131"/>
      <c r="CM845" s="131"/>
      <c r="CN845" s="131"/>
      <c r="CO845" s="131"/>
      <c r="CP845" s="131"/>
      <c r="CQ845" s="131"/>
    </row>
    <row r="846" spans="1:95" ht="15" hidden="1" x14ac:dyDescent="0.25">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131"/>
      <c r="AL846" s="131"/>
      <c r="AM846" s="131"/>
      <c r="AN846" s="131"/>
      <c r="AO846" s="131"/>
      <c r="AP846" s="131"/>
      <c r="AQ846" s="131"/>
      <c r="AR846" s="131"/>
      <c r="AS846" s="131"/>
      <c r="AT846" s="131"/>
      <c r="AU846" s="131"/>
      <c r="AV846" s="131"/>
      <c r="AW846" s="131"/>
      <c r="AX846" s="131"/>
      <c r="AY846" s="131"/>
      <c r="AZ846" s="131"/>
      <c r="BA846" s="131"/>
      <c r="BB846" s="131"/>
      <c r="BC846" s="131"/>
      <c r="BD846" s="131"/>
      <c r="BE846" s="131"/>
      <c r="BF846" s="131"/>
      <c r="BG846" s="131"/>
      <c r="BH846" s="131"/>
      <c r="BI846" s="131"/>
      <c r="BJ846" s="131"/>
      <c r="BK846" s="131"/>
      <c r="BL846" s="131"/>
      <c r="BM846" s="131"/>
      <c r="BN846" s="131"/>
      <c r="BO846" s="131"/>
      <c r="BP846" s="131"/>
      <c r="BQ846" s="131"/>
      <c r="BR846" s="131"/>
      <c r="BS846" s="131"/>
      <c r="BT846" s="131"/>
      <c r="BU846" s="131"/>
      <c r="BV846" s="131"/>
      <c r="BW846" s="131"/>
      <c r="BX846" s="131"/>
      <c r="BY846" s="131"/>
      <c r="BZ846" s="131"/>
      <c r="CA846" s="131"/>
      <c r="CB846" s="131"/>
      <c r="CC846" s="131"/>
      <c r="CD846" s="131"/>
      <c r="CE846" s="131"/>
      <c r="CF846" s="131"/>
      <c r="CG846" s="131"/>
      <c r="CH846" s="131"/>
      <c r="CI846" s="131"/>
      <c r="CJ846" s="131"/>
      <c r="CK846" s="131"/>
      <c r="CL846" s="131"/>
      <c r="CM846" s="131"/>
      <c r="CN846" s="131"/>
      <c r="CO846" s="131"/>
      <c r="CP846" s="131"/>
      <c r="CQ846" s="131"/>
    </row>
    <row r="847" spans="1:95" ht="15" hidden="1" x14ac:dyDescent="0.25">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31"/>
      <c r="AO847" s="131"/>
      <c r="AP847" s="131"/>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c r="BS847" s="131"/>
      <c r="BT847" s="131"/>
      <c r="BU847" s="131"/>
      <c r="BV847" s="131"/>
      <c r="BW847" s="131"/>
      <c r="BX847" s="131"/>
      <c r="BY847" s="131"/>
      <c r="BZ847" s="131"/>
      <c r="CA847" s="131"/>
      <c r="CB847" s="131"/>
      <c r="CC847" s="131"/>
      <c r="CD847" s="131"/>
      <c r="CE847" s="131"/>
      <c r="CF847" s="131"/>
      <c r="CG847" s="131"/>
      <c r="CH847" s="131"/>
      <c r="CI847" s="131"/>
      <c r="CJ847" s="131"/>
      <c r="CK847" s="131"/>
      <c r="CL847" s="131"/>
      <c r="CM847" s="131"/>
      <c r="CN847" s="131"/>
      <c r="CO847" s="131"/>
      <c r="CP847" s="131"/>
      <c r="CQ847" s="131"/>
    </row>
    <row r="848" spans="1:95" ht="15" hidden="1" x14ac:dyDescent="0.25">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31"/>
      <c r="AO848" s="131"/>
      <c r="AP848" s="131"/>
      <c r="AQ848" s="131"/>
      <c r="AR848" s="131"/>
      <c r="AS848" s="131"/>
      <c r="AT848" s="131"/>
      <c r="AU848" s="131"/>
      <c r="AV848" s="131"/>
      <c r="AW848" s="131"/>
      <c r="AX848" s="131"/>
      <c r="AY848" s="131"/>
      <c r="AZ848" s="131"/>
      <c r="BA848" s="131"/>
      <c r="BB848" s="131"/>
      <c r="BC848" s="131"/>
      <c r="BD848" s="131"/>
      <c r="BE848" s="131"/>
      <c r="BF848" s="131"/>
      <c r="BG848" s="131"/>
      <c r="BH848" s="131"/>
      <c r="BI848" s="131"/>
      <c r="BJ848" s="131"/>
      <c r="BK848" s="131"/>
      <c r="BL848" s="131"/>
      <c r="BM848" s="131"/>
      <c r="BN848" s="131"/>
      <c r="BO848" s="131"/>
      <c r="BP848" s="131"/>
      <c r="BQ848" s="131"/>
      <c r="BR848" s="131"/>
      <c r="BS848" s="131"/>
      <c r="BT848" s="131"/>
      <c r="BU848" s="131"/>
      <c r="BV848" s="131"/>
      <c r="BW848" s="131"/>
      <c r="BX848" s="131"/>
      <c r="BY848" s="131"/>
      <c r="BZ848" s="131"/>
      <c r="CA848" s="131"/>
      <c r="CB848" s="131"/>
      <c r="CC848" s="131"/>
      <c r="CD848" s="131"/>
      <c r="CE848" s="131"/>
      <c r="CF848" s="131"/>
      <c r="CG848" s="131"/>
      <c r="CH848" s="131"/>
      <c r="CI848" s="131"/>
      <c r="CJ848" s="131"/>
      <c r="CK848" s="131"/>
      <c r="CL848" s="131"/>
      <c r="CM848" s="131"/>
      <c r="CN848" s="131"/>
      <c r="CO848" s="131"/>
      <c r="CP848" s="131"/>
      <c r="CQ848" s="131"/>
    </row>
    <row r="849" spans="1:95" ht="15" hidden="1" x14ac:dyDescent="0.25">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131"/>
      <c r="AL849" s="131"/>
      <c r="AM849" s="131"/>
      <c r="AN849" s="131"/>
      <c r="AO849" s="131"/>
      <c r="AP849" s="131"/>
      <c r="AQ849" s="131"/>
      <c r="AR849" s="131"/>
      <c r="AS849" s="131"/>
      <c r="AT849" s="131"/>
      <c r="AU849" s="131"/>
      <c r="AV849" s="131"/>
      <c r="AW849" s="131"/>
      <c r="AX849" s="131"/>
      <c r="AY849" s="131"/>
      <c r="AZ849" s="131"/>
      <c r="BA849" s="131"/>
      <c r="BB849" s="131"/>
      <c r="BC849" s="131"/>
      <c r="BD849" s="131"/>
      <c r="BE849" s="131"/>
      <c r="BF849" s="131"/>
      <c r="BG849" s="131"/>
      <c r="BH849" s="131"/>
      <c r="BI849" s="131"/>
      <c r="BJ849" s="131"/>
      <c r="BK849" s="131"/>
      <c r="BL849" s="131"/>
      <c r="BM849" s="131"/>
      <c r="BN849" s="131"/>
      <c r="BO849" s="131"/>
      <c r="BP849" s="131"/>
      <c r="BQ849" s="131"/>
      <c r="BR849" s="131"/>
      <c r="BS849" s="131"/>
      <c r="BT849" s="131"/>
      <c r="BU849" s="131"/>
      <c r="BV849" s="131"/>
      <c r="BW849" s="131"/>
      <c r="BX849" s="131"/>
      <c r="BY849" s="131"/>
      <c r="BZ849" s="131"/>
      <c r="CA849" s="131"/>
      <c r="CB849" s="131"/>
      <c r="CC849" s="131"/>
      <c r="CD849" s="131"/>
      <c r="CE849" s="131"/>
      <c r="CF849" s="131"/>
      <c r="CG849" s="131"/>
      <c r="CH849" s="131"/>
      <c r="CI849" s="131"/>
      <c r="CJ849" s="131"/>
      <c r="CK849" s="131"/>
      <c r="CL849" s="131"/>
      <c r="CM849" s="131"/>
      <c r="CN849" s="131"/>
      <c r="CO849" s="131"/>
      <c r="CP849" s="131"/>
      <c r="CQ849" s="131"/>
    </row>
    <row r="850" spans="1:95" ht="15" hidden="1" x14ac:dyDescent="0.25">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131"/>
      <c r="AL850" s="131"/>
      <c r="AM850" s="131"/>
      <c r="AN850" s="131"/>
      <c r="AO850" s="131"/>
      <c r="AP850" s="131"/>
      <c r="AQ850" s="131"/>
      <c r="AR850" s="131"/>
      <c r="AS850" s="131"/>
      <c r="AT850" s="131"/>
      <c r="AU850" s="131"/>
      <c r="AV850" s="131"/>
      <c r="AW850" s="131"/>
      <c r="AX850" s="131"/>
      <c r="AY850" s="131"/>
      <c r="AZ850" s="131"/>
      <c r="BA850" s="131"/>
      <c r="BB850" s="131"/>
      <c r="BC850" s="131"/>
      <c r="BD850" s="131"/>
      <c r="BE850" s="131"/>
      <c r="BF850" s="131"/>
      <c r="BG850" s="131"/>
      <c r="BH850" s="131"/>
      <c r="BI850" s="131"/>
      <c r="BJ850" s="131"/>
      <c r="BK850" s="131"/>
      <c r="BL850" s="131"/>
      <c r="BM850" s="131"/>
      <c r="BN850" s="131"/>
      <c r="BO850" s="131"/>
      <c r="BP850" s="131"/>
      <c r="BQ850" s="131"/>
      <c r="BR850" s="131"/>
      <c r="BS850" s="131"/>
      <c r="BT850" s="131"/>
      <c r="BU850" s="131"/>
      <c r="BV850" s="131"/>
      <c r="BW850" s="131"/>
      <c r="BX850" s="131"/>
      <c r="BY850" s="131"/>
      <c r="BZ850" s="131"/>
      <c r="CA850" s="131"/>
      <c r="CB850" s="131"/>
      <c r="CC850" s="131"/>
      <c r="CD850" s="131"/>
      <c r="CE850" s="131"/>
      <c r="CF850" s="131"/>
      <c r="CG850" s="131"/>
      <c r="CH850" s="131"/>
      <c r="CI850" s="131"/>
      <c r="CJ850" s="131"/>
      <c r="CK850" s="131"/>
      <c r="CL850" s="131"/>
      <c r="CM850" s="131"/>
      <c r="CN850" s="131"/>
      <c r="CO850" s="131"/>
      <c r="CP850" s="131"/>
      <c r="CQ850" s="131"/>
    </row>
    <row r="851" spans="1:95" ht="15" hidden="1" x14ac:dyDescent="0.25">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c r="AC851" s="131"/>
      <c r="AD851" s="131"/>
      <c r="AE851" s="131"/>
      <c r="AF851" s="131"/>
      <c r="AG851" s="131"/>
      <c r="AH851" s="131"/>
      <c r="AI851" s="131"/>
      <c r="AJ851" s="131"/>
      <c r="AK851" s="131"/>
      <c r="AL851" s="131"/>
      <c r="AM851" s="131"/>
      <c r="AN851" s="131"/>
      <c r="AO851" s="131"/>
      <c r="AP851" s="131"/>
      <c r="AQ851" s="131"/>
      <c r="AR851" s="131"/>
      <c r="AS851" s="131"/>
      <c r="AT851" s="131"/>
      <c r="AU851" s="131"/>
      <c r="AV851" s="131"/>
      <c r="AW851" s="131"/>
      <c r="AX851" s="131"/>
      <c r="AY851" s="131"/>
      <c r="AZ851" s="131"/>
      <c r="BA851" s="131"/>
      <c r="BB851" s="131"/>
      <c r="BC851" s="131"/>
      <c r="BD851" s="131"/>
      <c r="BE851" s="131"/>
      <c r="BF851" s="131"/>
      <c r="BG851" s="131"/>
      <c r="BH851" s="131"/>
      <c r="BI851" s="131"/>
      <c r="BJ851" s="131"/>
      <c r="BK851" s="131"/>
      <c r="BL851" s="131"/>
      <c r="BM851" s="131"/>
      <c r="BN851" s="131"/>
      <c r="BO851" s="131"/>
      <c r="BP851" s="131"/>
      <c r="BQ851" s="131"/>
      <c r="BR851" s="131"/>
      <c r="BS851" s="131"/>
      <c r="BT851" s="131"/>
      <c r="BU851" s="131"/>
      <c r="BV851" s="131"/>
      <c r="BW851" s="131"/>
      <c r="BX851" s="131"/>
      <c r="BY851" s="131"/>
      <c r="BZ851" s="131"/>
      <c r="CA851" s="131"/>
      <c r="CB851" s="131"/>
      <c r="CC851" s="131"/>
      <c r="CD851" s="131"/>
      <c r="CE851" s="131"/>
      <c r="CF851" s="131"/>
      <c r="CG851" s="131"/>
      <c r="CH851" s="131"/>
      <c r="CI851" s="131"/>
      <c r="CJ851" s="131"/>
      <c r="CK851" s="131"/>
      <c r="CL851" s="131"/>
      <c r="CM851" s="131"/>
      <c r="CN851" s="131"/>
      <c r="CO851" s="131"/>
      <c r="CP851" s="131"/>
      <c r="CQ851" s="131"/>
    </row>
    <row r="852" spans="1:95" ht="15" hidden="1" x14ac:dyDescent="0.25">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31"/>
      <c r="AO852" s="131"/>
      <c r="AP852" s="131"/>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31"/>
      <c r="BL852" s="131"/>
      <c r="BM852" s="131"/>
      <c r="BN852" s="131"/>
      <c r="BO852" s="131"/>
      <c r="BP852" s="131"/>
      <c r="BQ852" s="131"/>
      <c r="BR852" s="131"/>
      <c r="BS852" s="131"/>
      <c r="BT852" s="131"/>
      <c r="BU852" s="131"/>
      <c r="BV852" s="131"/>
      <c r="BW852" s="131"/>
      <c r="BX852" s="131"/>
      <c r="BY852" s="131"/>
      <c r="BZ852" s="131"/>
      <c r="CA852" s="131"/>
      <c r="CB852" s="131"/>
      <c r="CC852" s="131"/>
      <c r="CD852" s="131"/>
      <c r="CE852" s="131"/>
      <c r="CF852" s="131"/>
      <c r="CG852" s="131"/>
      <c r="CH852" s="131"/>
      <c r="CI852" s="131"/>
      <c r="CJ852" s="131"/>
      <c r="CK852" s="131"/>
      <c r="CL852" s="131"/>
      <c r="CM852" s="131"/>
      <c r="CN852" s="131"/>
      <c r="CO852" s="131"/>
      <c r="CP852" s="131"/>
      <c r="CQ852" s="131"/>
    </row>
    <row r="853" spans="1:95" ht="15" hidden="1" x14ac:dyDescent="0.25">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31"/>
      <c r="AO853" s="131"/>
      <c r="AP853" s="131"/>
      <c r="AQ853" s="131"/>
      <c r="AR853" s="131"/>
      <c r="AS853" s="131"/>
      <c r="AT853" s="131"/>
      <c r="AU853" s="131"/>
      <c r="AV853" s="131"/>
      <c r="AW853" s="131"/>
      <c r="AX853" s="131"/>
      <c r="AY853" s="131"/>
      <c r="AZ853" s="131"/>
      <c r="BA853" s="131"/>
      <c r="BB853" s="131"/>
      <c r="BC853" s="131"/>
      <c r="BD853" s="131"/>
      <c r="BE853" s="131"/>
      <c r="BF853" s="131"/>
      <c r="BG853" s="131"/>
      <c r="BH853" s="131"/>
      <c r="BI853" s="131"/>
      <c r="BJ853" s="131"/>
      <c r="BK853" s="131"/>
      <c r="BL853" s="131"/>
      <c r="BM853" s="131"/>
      <c r="BN853" s="131"/>
      <c r="BO853" s="131"/>
      <c r="BP853" s="131"/>
      <c r="BQ853" s="131"/>
      <c r="BR853" s="131"/>
      <c r="BS853" s="131"/>
      <c r="BT853" s="131"/>
      <c r="BU853" s="131"/>
      <c r="BV853" s="131"/>
      <c r="BW853" s="131"/>
      <c r="BX853" s="131"/>
      <c r="BY853" s="131"/>
      <c r="BZ853" s="131"/>
      <c r="CA853" s="131"/>
      <c r="CB853" s="131"/>
      <c r="CC853" s="131"/>
      <c r="CD853" s="131"/>
      <c r="CE853" s="131"/>
      <c r="CF853" s="131"/>
      <c r="CG853" s="131"/>
      <c r="CH853" s="131"/>
      <c r="CI853" s="131"/>
      <c r="CJ853" s="131"/>
      <c r="CK853" s="131"/>
      <c r="CL853" s="131"/>
      <c r="CM853" s="131"/>
      <c r="CN853" s="131"/>
      <c r="CO853" s="131"/>
      <c r="CP853" s="131"/>
      <c r="CQ853" s="131"/>
    </row>
    <row r="854" spans="1:95" ht="15" hidden="1" x14ac:dyDescent="0.25">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c r="AC854" s="131"/>
      <c r="AD854" s="131"/>
      <c r="AE854" s="131"/>
      <c r="AF854" s="131"/>
      <c r="AG854" s="131"/>
      <c r="AH854" s="131"/>
      <c r="AI854" s="131"/>
      <c r="AJ854" s="131"/>
      <c r="AK854" s="131"/>
      <c r="AL854" s="131"/>
      <c r="AM854" s="131"/>
      <c r="AN854" s="131"/>
      <c r="AO854" s="131"/>
      <c r="AP854" s="131"/>
      <c r="AQ854" s="131"/>
      <c r="AR854" s="131"/>
      <c r="AS854" s="131"/>
      <c r="AT854" s="131"/>
      <c r="AU854" s="131"/>
      <c r="AV854" s="131"/>
      <c r="AW854" s="131"/>
      <c r="AX854" s="131"/>
      <c r="AY854" s="131"/>
      <c r="AZ854" s="131"/>
      <c r="BA854" s="131"/>
      <c r="BB854" s="131"/>
      <c r="BC854" s="131"/>
      <c r="BD854" s="131"/>
      <c r="BE854" s="131"/>
      <c r="BF854" s="131"/>
      <c r="BG854" s="131"/>
      <c r="BH854" s="131"/>
      <c r="BI854" s="131"/>
      <c r="BJ854" s="131"/>
      <c r="BK854" s="131"/>
      <c r="BL854" s="131"/>
      <c r="BM854" s="131"/>
      <c r="BN854" s="131"/>
      <c r="BO854" s="131"/>
      <c r="BP854" s="131"/>
      <c r="BQ854" s="131"/>
      <c r="BR854" s="131"/>
      <c r="BS854" s="131"/>
      <c r="BT854" s="131"/>
      <c r="BU854" s="131"/>
      <c r="BV854" s="131"/>
      <c r="BW854" s="131"/>
      <c r="BX854" s="131"/>
      <c r="BY854" s="131"/>
      <c r="BZ854" s="131"/>
      <c r="CA854" s="131"/>
      <c r="CB854" s="131"/>
      <c r="CC854" s="131"/>
      <c r="CD854" s="131"/>
      <c r="CE854" s="131"/>
      <c r="CF854" s="131"/>
      <c r="CG854" s="131"/>
      <c r="CH854" s="131"/>
      <c r="CI854" s="131"/>
      <c r="CJ854" s="131"/>
      <c r="CK854" s="131"/>
      <c r="CL854" s="131"/>
      <c r="CM854" s="131"/>
      <c r="CN854" s="131"/>
      <c r="CO854" s="131"/>
      <c r="CP854" s="131"/>
      <c r="CQ854" s="131"/>
    </row>
    <row r="855" spans="1:95" ht="15" hidden="1" x14ac:dyDescent="0.25">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1"/>
      <c r="AH855" s="131"/>
      <c r="AI855" s="131"/>
      <c r="AJ855" s="131"/>
      <c r="AK855" s="131"/>
      <c r="AL855" s="131"/>
      <c r="AM855" s="131"/>
      <c r="AN855" s="131"/>
      <c r="AO855" s="131"/>
      <c r="AP855" s="131"/>
      <c r="AQ855" s="131"/>
      <c r="AR855" s="131"/>
      <c r="AS855" s="131"/>
      <c r="AT855" s="131"/>
      <c r="AU855" s="131"/>
      <c r="AV855" s="131"/>
      <c r="AW855" s="131"/>
      <c r="AX855" s="131"/>
      <c r="AY855" s="131"/>
      <c r="AZ855" s="131"/>
      <c r="BA855" s="131"/>
      <c r="BB855" s="131"/>
      <c r="BC855" s="131"/>
      <c r="BD855" s="131"/>
      <c r="BE855" s="131"/>
      <c r="BF855" s="131"/>
      <c r="BG855" s="131"/>
      <c r="BH855" s="131"/>
      <c r="BI855" s="131"/>
      <c r="BJ855" s="131"/>
      <c r="BK855" s="131"/>
      <c r="BL855" s="131"/>
      <c r="BM855" s="131"/>
      <c r="BN855" s="131"/>
      <c r="BO855" s="131"/>
      <c r="BP855" s="131"/>
      <c r="BQ855" s="131"/>
      <c r="BR855" s="131"/>
      <c r="BS855" s="131"/>
      <c r="BT855" s="131"/>
      <c r="BU855" s="131"/>
      <c r="BV855" s="131"/>
      <c r="BW855" s="131"/>
      <c r="BX855" s="131"/>
      <c r="BY855" s="131"/>
      <c r="BZ855" s="131"/>
      <c r="CA855" s="131"/>
      <c r="CB855" s="131"/>
      <c r="CC855" s="131"/>
      <c r="CD855" s="131"/>
      <c r="CE855" s="131"/>
      <c r="CF855" s="131"/>
      <c r="CG855" s="131"/>
      <c r="CH855" s="131"/>
      <c r="CI855" s="131"/>
      <c r="CJ855" s="131"/>
      <c r="CK855" s="131"/>
      <c r="CL855" s="131"/>
      <c r="CM855" s="131"/>
      <c r="CN855" s="131"/>
      <c r="CO855" s="131"/>
      <c r="CP855" s="131"/>
      <c r="CQ855" s="131"/>
    </row>
    <row r="856" spans="1:95" ht="15" hidden="1" x14ac:dyDescent="0.25">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1"/>
      <c r="AH856" s="131"/>
      <c r="AI856" s="131"/>
      <c r="AJ856" s="131"/>
      <c r="AK856" s="131"/>
      <c r="AL856" s="131"/>
      <c r="AM856" s="131"/>
      <c r="AN856" s="131"/>
      <c r="AO856" s="131"/>
      <c r="AP856" s="131"/>
      <c r="AQ856" s="131"/>
      <c r="AR856" s="131"/>
      <c r="AS856" s="131"/>
      <c r="AT856" s="131"/>
      <c r="AU856" s="131"/>
      <c r="AV856" s="131"/>
      <c r="AW856" s="131"/>
      <c r="AX856" s="131"/>
      <c r="AY856" s="131"/>
      <c r="AZ856" s="131"/>
      <c r="BA856" s="131"/>
      <c r="BB856" s="131"/>
      <c r="BC856" s="131"/>
      <c r="BD856" s="131"/>
      <c r="BE856" s="131"/>
      <c r="BF856" s="131"/>
      <c r="BG856" s="131"/>
      <c r="BH856" s="131"/>
      <c r="BI856" s="131"/>
      <c r="BJ856" s="131"/>
      <c r="BK856" s="131"/>
      <c r="BL856" s="131"/>
      <c r="BM856" s="131"/>
      <c r="BN856" s="131"/>
      <c r="BO856" s="131"/>
      <c r="BP856" s="131"/>
      <c r="BQ856" s="131"/>
      <c r="BR856" s="131"/>
      <c r="BS856" s="131"/>
      <c r="BT856" s="131"/>
      <c r="BU856" s="131"/>
      <c r="BV856" s="131"/>
      <c r="BW856" s="131"/>
      <c r="BX856" s="131"/>
      <c r="BY856" s="131"/>
      <c r="BZ856" s="131"/>
      <c r="CA856" s="131"/>
      <c r="CB856" s="131"/>
      <c r="CC856" s="131"/>
      <c r="CD856" s="131"/>
      <c r="CE856" s="131"/>
      <c r="CF856" s="131"/>
      <c r="CG856" s="131"/>
      <c r="CH856" s="131"/>
      <c r="CI856" s="131"/>
      <c r="CJ856" s="131"/>
      <c r="CK856" s="131"/>
      <c r="CL856" s="131"/>
      <c r="CM856" s="131"/>
      <c r="CN856" s="131"/>
      <c r="CO856" s="131"/>
      <c r="CP856" s="131"/>
      <c r="CQ856" s="131"/>
    </row>
    <row r="857" spans="1:95" ht="15" hidden="1" x14ac:dyDescent="0.25">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31"/>
      <c r="AO857" s="131"/>
      <c r="AP857" s="131"/>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31"/>
      <c r="BL857" s="131"/>
      <c r="BM857" s="131"/>
      <c r="BN857" s="131"/>
      <c r="BO857" s="131"/>
      <c r="BP857" s="131"/>
      <c r="BQ857" s="131"/>
      <c r="BR857" s="131"/>
      <c r="BS857" s="131"/>
      <c r="BT857" s="131"/>
      <c r="BU857" s="131"/>
      <c r="BV857" s="131"/>
      <c r="BW857" s="131"/>
      <c r="BX857" s="131"/>
      <c r="BY857" s="131"/>
      <c r="BZ857" s="131"/>
      <c r="CA857" s="131"/>
      <c r="CB857" s="131"/>
      <c r="CC857" s="131"/>
      <c r="CD857" s="131"/>
      <c r="CE857" s="131"/>
      <c r="CF857" s="131"/>
      <c r="CG857" s="131"/>
      <c r="CH857" s="131"/>
      <c r="CI857" s="131"/>
      <c r="CJ857" s="131"/>
      <c r="CK857" s="131"/>
      <c r="CL857" s="131"/>
      <c r="CM857" s="131"/>
      <c r="CN857" s="131"/>
      <c r="CO857" s="131"/>
      <c r="CP857" s="131"/>
      <c r="CQ857" s="131"/>
    </row>
    <row r="858" spans="1:95" ht="15" hidden="1" x14ac:dyDescent="0.25">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c r="AC858" s="131"/>
      <c r="AD858" s="131"/>
      <c r="AE858" s="131"/>
      <c r="AF858" s="131"/>
      <c r="AG858" s="131"/>
      <c r="AH858" s="131"/>
      <c r="AI858" s="131"/>
      <c r="AJ858" s="131"/>
      <c r="AK858" s="131"/>
      <c r="AL858" s="131"/>
      <c r="AM858" s="131"/>
      <c r="AN858" s="131"/>
      <c r="AO858" s="131"/>
      <c r="AP858" s="131"/>
      <c r="AQ858" s="131"/>
      <c r="AR858" s="131"/>
      <c r="AS858" s="131"/>
      <c r="AT858" s="131"/>
      <c r="AU858" s="131"/>
      <c r="AV858" s="131"/>
      <c r="AW858" s="131"/>
      <c r="AX858" s="131"/>
      <c r="AY858" s="131"/>
      <c r="AZ858" s="131"/>
      <c r="BA858" s="131"/>
      <c r="BB858" s="131"/>
      <c r="BC858" s="131"/>
      <c r="BD858" s="131"/>
      <c r="BE858" s="131"/>
      <c r="BF858" s="131"/>
      <c r="BG858" s="131"/>
      <c r="BH858" s="131"/>
      <c r="BI858" s="131"/>
      <c r="BJ858" s="131"/>
      <c r="BK858" s="131"/>
      <c r="BL858" s="131"/>
      <c r="BM858" s="131"/>
      <c r="BN858" s="131"/>
      <c r="BO858" s="131"/>
      <c r="BP858" s="131"/>
      <c r="BQ858" s="131"/>
      <c r="BR858" s="131"/>
      <c r="BS858" s="131"/>
      <c r="BT858" s="131"/>
      <c r="BU858" s="131"/>
      <c r="BV858" s="131"/>
      <c r="BW858" s="131"/>
      <c r="BX858" s="131"/>
      <c r="BY858" s="131"/>
      <c r="BZ858" s="131"/>
      <c r="CA858" s="131"/>
      <c r="CB858" s="131"/>
      <c r="CC858" s="131"/>
      <c r="CD858" s="131"/>
      <c r="CE858" s="131"/>
      <c r="CF858" s="131"/>
      <c r="CG858" s="131"/>
      <c r="CH858" s="131"/>
      <c r="CI858" s="131"/>
      <c r="CJ858" s="131"/>
      <c r="CK858" s="131"/>
      <c r="CL858" s="131"/>
      <c r="CM858" s="131"/>
      <c r="CN858" s="131"/>
      <c r="CO858" s="131"/>
      <c r="CP858" s="131"/>
      <c r="CQ858" s="131"/>
    </row>
    <row r="859" spans="1:95" ht="15" hidden="1" x14ac:dyDescent="0.25">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c r="AA859" s="131"/>
      <c r="AB859" s="131"/>
      <c r="AC859" s="131"/>
      <c r="AD859" s="131"/>
      <c r="AE859" s="131"/>
      <c r="AF859" s="131"/>
      <c r="AG859" s="131"/>
      <c r="AH859" s="131"/>
      <c r="AI859" s="131"/>
      <c r="AJ859" s="131"/>
      <c r="AK859" s="131"/>
      <c r="AL859" s="131"/>
      <c r="AM859" s="131"/>
      <c r="AN859" s="131"/>
      <c r="AO859" s="131"/>
      <c r="AP859" s="131"/>
      <c r="AQ859" s="131"/>
      <c r="AR859" s="131"/>
      <c r="AS859" s="131"/>
      <c r="AT859" s="131"/>
      <c r="AU859" s="131"/>
      <c r="AV859" s="131"/>
      <c r="AW859" s="131"/>
      <c r="AX859" s="131"/>
      <c r="AY859" s="131"/>
      <c r="AZ859" s="131"/>
      <c r="BA859" s="131"/>
      <c r="BB859" s="131"/>
      <c r="BC859" s="131"/>
      <c r="BD859" s="131"/>
      <c r="BE859" s="131"/>
      <c r="BF859" s="131"/>
      <c r="BG859" s="131"/>
      <c r="BH859" s="131"/>
      <c r="BI859" s="131"/>
      <c r="BJ859" s="131"/>
      <c r="BK859" s="131"/>
      <c r="BL859" s="131"/>
      <c r="BM859" s="131"/>
      <c r="BN859" s="131"/>
      <c r="BO859" s="131"/>
      <c r="BP859" s="131"/>
      <c r="BQ859" s="131"/>
      <c r="BR859" s="131"/>
      <c r="BS859" s="131"/>
      <c r="BT859" s="131"/>
      <c r="BU859" s="131"/>
      <c r="BV859" s="131"/>
      <c r="BW859" s="131"/>
      <c r="BX859" s="131"/>
      <c r="BY859" s="131"/>
      <c r="BZ859" s="131"/>
      <c r="CA859" s="131"/>
      <c r="CB859" s="131"/>
      <c r="CC859" s="131"/>
      <c r="CD859" s="131"/>
      <c r="CE859" s="131"/>
      <c r="CF859" s="131"/>
      <c r="CG859" s="131"/>
      <c r="CH859" s="131"/>
      <c r="CI859" s="131"/>
      <c r="CJ859" s="131"/>
      <c r="CK859" s="131"/>
      <c r="CL859" s="131"/>
      <c r="CM859" s="131"/>
      <c r="CN859" s="131"/>
      <c r="CO859" s="131"/>
      <c r="CP859" s="131"/>
      <c r="CQ859" s="131"/>
    </row>
    <row r="860" spans="1:95" ht="15" hidden="1" x14ac:dyDescent="0.25">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31"/>
      <c r="AO860" s="131"/>
      <c r="AP860" s="131"/>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c r="BS860" s="131"/>
      <c r="BT860" s="131"/>
      <c r="BU860" s="131"/>
      <c r="BV860" s="131"/>
      <c r="BW860" s="131"/>
      <c r="BX860" s="131"/>
      <c r="BY860" s="131"/>
      <c r="BZ860" s="131"/>
      <c r="CA860" s="131"/>
      <c r="CB860" s="131"/>
      <c r="CC860" s="131"/>
      <c r="CD860" s="131"/>
      <c r="CE860" s="131"/>
      <c r="CF860" s="131"/>
      <c r="CG860" s="131"/>
      <c r="CH860" s="131"/>
      <c r="CI860" s="131"/>
      <c r="CJ860" s="131"/>
      <c r="CK860" s="131"/>
      <c r="CL860" s="131"/>
      <c r="CM860" s="131"/>
      <c r="CN860" s="131"/>
      <c r="CO860" s="131"/>
      <c r="CP860" s="131"/>
      <c r="CQ860" s="131"/>
    </row>
    <row r="861" spans="1:95" ht="15" hidden="1" x14ac:dyDescent="0.25">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131"/>
      <c r="AL861" s="131"/>
      <c r="AM861" s="131"/>
      <c r="AN861" s="131"/>
      <c r="AO861" s="131"/>
      <c r="AP861" s="131"/>
      <c r="AQ861" s="131"/>
      <c r="AR861" s="131"/>
      <c r="AS861" s="131"/>
      <c r="AT861" s="131"/>
      <c r="AU861" s="131"/>
      <c r="AV861" s="131"/>
      <c r="AW861" s="131"/>
      <c r="AX861" s="131"/>
      <c r="AY861" s="131"/>
      <c r="AZ861" s="131"/>
      <c r="BA861" s="131"/>
      <c r="BB861" s="131"/>
      <c r="BC861" s="131"/>
      <c r="BD861" s="131"/>
      <c r="BE861" s="131"/>
      <c r="BF861" s="131"/>
      <c r="BG861" s="131"/>
      <c r="BH861" s="131"/>
      <c r="BI861" s="131"/>
      <c r="BJ861" s="131"/>
      <c r="BK861" s="131"/>
      <c r="BL861" s="131"/>
      <c r="BM861" s="131"/>
      <c r="BN861" s="131"/>
      <c r="BO861" s="131"/>
      <c r="BP861" s="131"/>
      <c r="BQ861" s="131"/>
      <c r="BR861" s="131"/>
      <c r="BS861" s="131"/>
      <c r="BT861" s="131"/>
      <c r="BU861" s="131"/>
      <c r="BV861" s="131"/>
      <c r="BW861" s="131"/>
      <c r="BX861" s="131"/>
      <c r="BY861" s="131"/>
      <c r="BZ861" s="131"/>
      <c r="CA861" s="131"/>
      <c r="CB861" s="131"/>
      <c r="CC861" s="131"/>
      <c r="CD861" s="131"/>
      <c r="CE861" s="131"/>
      <c r="CF861" s="131"/>
      <c r="CG861" s="131"/>
      <c r="CH861" s="131"/>
      <c r="CI861" s="131"/>
      <c r="CJ861" s="131"/>
      <c r="CK861" s="131"/>
      <c r="CL861" s="131"/>
      <c r="CM861" s="131"/>
      <c r="CN861" s="131"/>
      <c r="CO861" s="131"/>
      <c r="CP861" s="131"/>
      <c r="CQ861" s="131"/>
    </row>
    <row r="862" spans="1:95" ht="15" hidden="1" x14ac:dyDescent="0.25">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31"/>
      <c r="AO862" s="131"/>
      <c r="AP862" s="131"/>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31"/>
      <c r="BL862" s="131"/>
      <c r="BM862" s="131"/>
      <c r="BN862" s="131"/>
      <c r="BO862" s="131"/>
      <c r="BP862" s="131"/>
      <c r="BQ862" s="131"/>
      <c r="BR862" s="131"/>
      <c r="BS862" s="131"/>
      <c r="BT862" s="131"/>
      <c r="BU862" s="131"/>
      <c r="BV862" s="131"/>
      <c r="BW862" s="131"/>
      <c r="BX862" s="131"/>
      <c r="BY862" s="131"/>
      <c r="BZ862" s="131"/>
      <c r="CA862" s="131"/>
      <c r="CB862" s="131"/>
      <c r="CC862" s="131"/>
      <c r="CD862" s="131"/>
      <c r="CE862" s="131"/>
      <c r="CF862" s="131"/>
      <c r="CG862" s="131"/>
      <c r="CH862" s="131"/>
      <c r="CI862" s="131"/>
      <c r="CJ862" s="131"/>
      <c r="CK862" s="131"/>
      <c r="CL862" s="131"/>
      <c r="CM862" s="131"/>
      <c r="CN862" s="131"/>
      <c r="CO862" s="131"/>
      <c r="CP862" s="131"/>
      <c r="CQ862" s="131"/>
    </row>
    <row r="863" spans="1:95" ht="15" hidden="1" x14ac:dyDescent="0.25">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c r="AC863" s="131"/>
      <c r="AD863" s="131"/>
      <c r="AE863" s="131"/>
      <c r="AF863" s="131"/>
      <c r="AG863" s="131"/>
      <c r="AH863" s="131"/>
      <c r="AI863" s="131"/>
      <c r="AJ863" s="131"/>
      <c r="AK863" s="131"/>
      <c r="AL863" s="131"/>
      <c r="AM863" s="131"/>
      <c r="AN863" s="131"/>
      <c r="AO863" s="131"/>
      <c r="AP863" s="131"/>
      <c r="AQ863" s="131"/>
      <c r="AR863" s="131"/>
      <c r="AS863" s="131"/>
      <c r="AT863" s="131"/>
      <c r="AU863" s="131"/>
      <c r="AV863" s="131"/>
      <c r="AW863" s="131"/>
      <c r="AX863" s="131"/>
      <c r="AY863" s="131"/>
      <c r="AZ863" s="131"/>
      <c r="BA863" s="131"/>
      <c r="BB863" s="131"/>
      <c r="BC863" s="131"/>
      <c r="BD863" s="131"/>
      <c r="BE863" s="131"/>
      <c r="BF863" s="131"/>
      <c r="BG863" s="131"/>
      <c r="BH863" s="131"/>
      <c r="BI863" s="131"/>
      <c r="BJ863" s="131"/>
      <c r="BK863" s="131"/>
      <c r="BL863" s="131"/>
      <c r="BM863" s="131"/>
      <c r="BN863" s="131"/>
      <c r="BO863" s="131"/>
      <c r="BP863" s="131"/>
      <c r="BQ863" s="131"/>
      <c r="BR863" s="131"/>
      <c r="BS863" s="131"/>
      <c r="BT863" s="131"/>
      <c r="BU863" s="131"/>
      <c r="BV863" s="131"/>
      <c r="BW863" s="131"/>
      <c r="BX863" s="131"/>
      <c r="BY863" s="131"/>
      <c r="BZ863" s="131"/>
      <c r="CA863" s="131"/>
      <c r="CB863" s="131"/>
      <c r="CC863" s="131"/>
      <c r="CD863" s="131"/>
      <c r="CE863" s="131"/>
      <c r="CF863" s="131"/>
      <c r="CG863" s="131"/>
      <c r="CH863" s="131"/>
      <c r="CI863" s="131"/>
      <c r="CJ863" s="131"/>
      <c r="CK863" s="131"/>
      <c r="CL863" s="131"/>
      <c r="CM863" s="131"/>
      <c r="CN863" s="131"/>
      <c r="CO863" s="131"/>
      <c r="CP863" s="131"/>
      <c r="CQ863" s="131"/>
    </row>
    <row r="864" spans="1:95" ht="15" hidden="1" x14ac:dyDescent="0.25">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1"/>
      <c r="AK864" s="131"/>
      <c r="AL864" s="131"/>
      <c r="AM864" s="131"/>
      <c r="AN864" s="131"/>
      <c r="AO864" s="131"/>
      <c r="AP864" s="131"/>
      <c r="AQ864" s="131"/>
      <c r="AR864" s="131"/>
      <c r="AS864" s="131"/>
      <c r="AT864" s="131"/>
      <c r="AU864" s="131"/>
      <c r="AV864" s="131"/>
      <c r="AW864" s="131"/>
      <c r="AX864" s="131"/>
      <c r="AY864" s="131"/>
      <c r="AZ864" s="131"/>
      <c r="BA864" s="131"/>
      <c r="BB864" s="131"/>
      <c r="BC864" s="131"/>
      <c r="BD864" s="131"/>
      <c r="BE864" s="131"/>
      <c r="BF864" s="131"/>
      <c r="BG864" s="131"/>
      <c r="BH864" s="131"/>
      <c r="BI864" s="131"/>
      <c r="BJ864" s="131"/>
      <c r="BK864" s="131"/>
      <c r="BL864" s="131"/>
      <c r="BM864" s="131"/>
      <c r="BN864" s="131"/>
      <c r="BO864" s="131"/>
      <c r="BP864" s="131"/>
      <c r="BQ864" s="131"/>
      <c r="BR864" s="131"/>
      <c r="BS864" s="131"/>
      <c r="BT864" s="131"/>
      <c r="BU864" s="131"/>
      <c r="BV864" s="131"/>
      <c r="BW864" s="131"/>
      <c r="BX864" s="131"/>
      <c r="BY864" s="131"/>
      <c r="BZ864" s="131"/>
      <c r="CA864" s="131"/>
      <c r="CB864" s="131"/>
      <c r="CC864" s="131"/>
      <c r="CD864" s="131"/>
      <c r="CE864" s="131"/>
      <c r="CF864" s="131"/>
      <c r="CG864" s="131"/>
      <c r="CH864" s="131"/>
      <c r="CI864" s="131"/>
      <c r="CJ864" s="131"/>
      <c r="CK864" s="131"/>
      <c r="CL864" s="131"/>
      <c r="CM864" s="131"/>
      <c r="CN864" s="131"/>
      <c r="CO864" s="131"/>
      <c r="CP864" s="131"/>
      <c r="CQ864" s="131"/>
    </row>
    <row r="865" spans="1:95" ht="15" hidden="1" x14ac:dyDescent="0.25">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1"/>
      <c r="AH865" s="131"/>
      <c r="AI865" s="131"/>
      <c r="AJ865" s="131"/>
      <c r="AK865" s="131"/>
      <c r="AL865" s="131"/>
      <c r="AM865" s="131"/>
      <c r="AN865" s="131"/>
      <c r="AO865" s="131"/>
      <c r="AP865" s="131"/>
      <c r="AQ865" s="131"/>
      <c r="AR865" s="131"/>
      <c r="AS865" s="131"/>
      <c r="AT865" s="131"/>
      <c r="AU865" s="131"/>
      <c r="AV865" s="131"/>
      <c r="AW865" s="131"/>
      <c r="AX865" s="131"/>
      <c r="AY865" s="131"/>
      <c r="AZ865" s="131"/>
      <c r="BA865" s="131"/>
      <c r="BB865" s="131"/>
      <c r="BC865" s="131"/>
      <c r="BD865" s="131"/>
      <c r="BE865" s="131"/>
      <c r="BF865" s="131"/>
      <c r="BG865" s="131"/>
      <c r="BH865" s="131"/>
      <c r="BI865" s="131"/>
      <c r="BJ865" s="131"/>
      <c r="BK865" s="131"/>
      <c r="BL865" s="131"/>
      <c r="BM865" s="131"/>
      <c r="BN865" s="131"/>
      <c r="BO865" s="131"/>
      <c r="BP865" s="131"/>
      <c r="BQ865" s="131"/>
      <c r="BR865" s="131"/>
      <c r="BS865" s="131"/>
      <c r="BT865" s="131"/>
      <c r="BU865" s="131"/>
      <c r="BV865" s="131"/>
      <c r="BW865" s="131"/>
      <c r="BX865" s="131"/>
      <c r="BY865" s="131"/>
      <c r="BZ865" s="131"/>
      <c r="CA865" s="131"/>
      <c r="CB865" s="131"/>
      <c r="CC865" s="131"/>
      <c r="CD865" s="131"/>
      <c r="CE865" s="131"/>
      <c r="CF865" s="131"/>
      <c r="CG865" s="131"/>
      <c r="CH865" s="131"/>
      <c r="CI865" s="131"/>
      <c r="CJ865" s="131"/>
      <c r="CK865" s="131"/>
      <c r="CL865" s="131"/>
      <c r="CM865" s="131"/>
      <c r="CN865" s="131"/>
      <c r="CO865" s="131"/>
      <c r="CP865" s="131"/>
      <c r="CQ865" s="131"/>
    </row>
    <row r="866" spans="1:95" ht="15" hidden="1" x14ac:dyDescent="0.25">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1"/>
      <c r="AH866" s="131"/>
      <c r="AI866" s="131"/>
      <c r="AJ866" s="131"/>
      <c r="AK866" s="131"/>
      <c r="AL866" s="131"/>
      <c r="AM866" s="131"/>
      <c r="AN866" s="131"/>
      <c r="AO866" s="131"/>
      <c r="AP866" s="131"/>
      <c r="AQ866" s="131"/>
      <c r="AR866" s="131"/>
      <c r="AS866" s="131"/>
      <c r="AT866" s="131"/>
      <c r="AU866" s="131"/>
      <c r="AV866" s="131"/>
      <c r="AW866" s="131"/>
      <c r="AX866" s="131"/>
      <c r="AY866" s="131"/>
      <c r="AZ866" s="131"/>
      <c r="BA866" s="131"/>
      <c r="BB866" s="131"/>
      <c r="BC866" s="131"/>
      <c r="BD866" s="131"/>
      <c r="BE866" s="131"/>
      <c r="BF866" s="131"/>
      <c r="BG866" s="131"/>
      <c r="BH866" s="131"/>
      <c r="BI866" s="131"/>
      <c r="BJ866" s="131"/>
      <c r="BK866" s="131"/>
      <c r="BL866" s="131"/>
      <c r="BM866" s="131"/>
      <c r="BN866" s="131"/>
      <c r="BO866" s="131"/>
      <c r="BP866" s="131"/>
      <c r="BQ866" s="131"/>
      <c r="BR866" s="131"/>
      <c r="BS866" s="131"/>
      <c r="BT866" s="131"/>
      <c r="BU866" s="131"/>
      <c r="BV866" s="131"/>
      <c r="BW866" s="131"/>
      <c r="BX866" s="131"/>
      <c r="BY866" s="131"/>
      <c r="BZ866" s="131"/>
      <c r="CA866" s="131"/>
      <c r="CB866" s="131"/>
      <c r="CC866" s="131"/>
      <c r="CD866" s="131"/>
      <c r="CE866" s="131"/>
      <c r="CF866" s="131"/>
      <c r="CG866" s="131"/>
      <c r="CH866" s="131"/>
      <c r="CI866" s="131"/>
      <c r="CJ866" s="131"/>
      <c r="CK866" s="131"/>
      <c r="CL866" s="131"/>
      <c r="CM866" s="131"/>
      <c r="CN866" s="131"/>
      <c r="CO866" s="131"/>
      <c r="CP866" s="131"/>
      <c r="CQ866" s="131"/>
    </row>
    <row r="867" spans="1:95" ht="15" hidden="1" x14ac:dyDescent="0.25">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c r="AC867" s="131"/>
      <c r="AD867" s="131"/>
      <c r="AE867" s="131"/>
      <c r="AF867" s="131"/>
      <c r="AG867" s="131"/>
      <c r="AH867" s="131"/>
      <c r="AI867" s="131"/>
      <c r="AJ867" s="131"/>
      <c r="AK867" s="131"/>
      <c r="AL867" s="131"/>
      <c r="AM867" s="131"/>
      <c r="AN867" s="131"/>
      <c r="AO867" s="131"/>
      <c r="AP867" s="131"/>
      <c r="AQ867" s="131"/>
      <c r="AR867" s="131"/>
      <c r="AS867" s="131"/>
      <c r="AT867" s="131"/>
      <c r="AU867" s="131"/>
      <c r="AV867" s="131"/>
      <c r="AW867" s="131"/>
      <c r="AX867" s="131"/>
      <c r="AY867" s="131"/>
      <c r="AZ867" s="131"/>
      <c r="BA867" s="131"/>
      <c r="BB867" s="131"/>
      <c r="BC867" s="131"/>
      <c r="BD867" s="131"/>
      <c r="BE867" s="131"/>
      <c r="BF867" s="131"/>
      <c r="BG867" s="131"/>
      <c r="BH867" s="131"/>
      <c r="BI867" s="131"/>
      <c r="BJ867" s="131"/>
      <c r="BK867" s="131"/>
      <c r="BL867" s="131"/>
      <c r="BM867" s="131"/>
      <c r="BN867" s="131"/>
      <c r="BO867" s="131"/>
      <c r="BP867" s="131"/>
      <c r="BQ867" s="131"/>
      <c r="BR867" s="131"/>
      <c r="BS867" s="131"/>
      <c r="BT867" s="131"/>
      <c r="BU867" s="131"/>
      <c r="BV867" s="131"/>
      <c r="BW867" s="131"/>
      <c r="BX867" s="131"/>
      <c r="BY867" s="131"/>
      <c r="BZ867" s="131"/>
      <c r="CA867" s="131"/>
      <c r="CB867" s="131"/>
      <c r="CC867" s="131"/>
      <c r="CD867" s="131"/>
      <c r="CE867" s="131"/>
      <c r="CF867" s="131"/>
      <c r="CG867" s="131"/>
      <c r="CH867" s="131"/>
      <c r="CI867" s="131"/>
      <c r="CJ867" s="131"/>
      <c r="CK867" s="131"/>
      <c r="CL867" s="131"/>
      <c r="CM867" s="131"/>
      <c r="CN867" s="131"/>
      <c r="CO867" s="131"/>
      <c r="CP867" s="131"/>
      <c r="CQ867" s="131"/>
    </row>
    <row r="868" spans="1:95" ht="15" hidden="1" x14ac:dyDescent="0.25">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c r="AC868" s="131"/>
      <c r="AD868" s="131"/>
      <c r="AE868" s="131"/>
      <c r="AF868" s="131"/>
      <c r="AG868" s="131"/>
      <c r="AH868" s="131"/>
      <c r="AI868" s="131"/>
      <c r="AJ868" s="131"/>
      <c r="AK868" s="131"/>
      <c r="AL868" s="131"/>
      <c r="AM868" s="131"/>
      <c r="AN868" s="131"/>
      <c r="AO868" s="131"/>
      <c r="AP868" s="131"/>
      <c r="AQ868" s="131"/>
      <c r="AR868" s="131"/>
      <c r="AS868" s="131"/>
      <c r="AT868" s="131"/>
      <c r="AU868" s="131"/>
      <c r="AV868" s="131"/>
      <c r="AW868" s="131"/>
      <c r="AX868" s="131"/>
      <c r="AY868" s="131"/>
      <c r="AZ868" s="131"/>
      <c r="BA868" s="131"/>
      <c r="BB868" s="131"/>
      <c r="BC868" s="131"/>
      <c r="BD868" s="131"/>
      <c r="BE868" s="131"/>
      <c r="BF868" s="131"/>
      <c r="BG868" s="131"/>
      <c r="BH868" s="131"/>
      <c r="BI868" s="131"/>
      <c r="BJ868" s="131"/>
      <c r="BK868" s="131"/>
      <c r="BL868" s="131"/>
      <c r="BM868" s="131"/>
      <c r="BN868" s="131"/>
      <c r="BO868" s="131"/>
      <c r="BP868" s="131"/>
      <c r="BQ868" s="131"/>
      <c r="BR868" s="131"/>
      <c r="BS868" s="131"/>
      <c r="BT868" s="131"/>
      <c r="BU868" s="131"/>
      <c r="BV868" s="131"/>
      <c r="BW868" s="131"/>
      <c r="BX868" s="131"/>
      <c r="BY868" s="131"/>
      <c r="BZ868" s="131"/>
      <c r="CA868" s="131"/>
      <c r="CB868" s="131"/>
      <c r="CC868" s="131"/>
      <c r="CD868" s="131"/>
      <c r="CE868" s="131"/>
      <c r="CF868" s="131"/>
      <c r="CG868" s="131"/>
      <c r="CH868" s="131"/>
      <c r="CI868" s="131"/>
      <c r="CJ868" s="131"/>
      <c r="CK868" s="131"/>
      <c r="CL868" s="131"/>
      <c r="CM868" s="131"/>
      <c r="CN868" s="131"/>
      <c r="CO868" s="131"/>
      <c r="CP868" s="131"/>
      <c r="CQ868" s="131"/>
    </row>
    <row r="869" spans="1:95" ht="15" hidden="1" x14ac:dyDescent="0.25">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c r="AC869" s="131"/>
      <c r="AD869" s="131"/>
      <c r="AE869" s="131"/>
      <c r="AF869" s="131"/>
      <c r="AG869" s="131"/>
      <c r="AH869" s="131"/>
      <c r="AI869" s="131"/>
      <c r="AJ869" s="131"/>
      <c r="AK869" s="131"/>
      <c r="AL869" s="131"/>
      <c r="AM869" s="131"/>
      <c r="AN869" s="131"/>
      <c r="AO869" s="131"/>
      <c r="AP869" s="131"/>
      <c r="AQ869" s="131"/>
      <c r="AR869" s="131"/>
      <c r="AS869" s="131"/>
      <c r="AT869" s="131"/>
      <c r="AU869" s="131"/>
      <c r="AV869" s="131"/>
      <c r="AW869" s="131"/>
      <c r="AX869" s="131"/>
      <c r="AY869" s="131"/>
      <c r="AZ869" s="131"/>
      <c r="BA869" s="131"/>
      <c r="BB869" s="131"/>
      <c r="BC869" s="131"/>
      <c r="BD869" s="131"/>
      <c r="BE869" s="131"/>
      <c r="BF869" s="131"/>
      <c r="BG869" s="131"/>
      <c r="BH869" s="131"/>
      <c r="BI869" s="131"/>
      <c r="BJ869" s="131"/>
      <c r="BK869" s="131"/>
      <c r="BL869" s="131"/>
      <c r="BM869" s="131"/>
      <c r="BN869" s="131"/>
      <c r="BO869" s="131"/>
      <c r="BP869" s="131"/>
      <c r="BQ869" s="131"/>
      <c r="BR869" s="131"/>
      <c r="BS869" s="131"/>
      <c r="BT869" s="131"/>
      <c r="BU869" s="131"/>
      <c r="BV869" s="131"/>
      <c r="BW869" s="131"/>
      <c r="BX869" s="131"/>
      <c r="BY869" s="131"/>
      <c r="BZ869" s="131"/>
      <c r="CA869" s="131"/>
      <c r="CB869" s="131"/>
      <c r="CC869" s="131"/>
      <c r="CD869" s="131"/>
      <c r="CE869" s="131"/>
      <c r="CF869" s="131"/>
      <c r="CG869" s="131"/>
      <c r="CH869" s="131"/>
      <c r="CI869" s="131"/>
      <c r="CJ869" s="131"/>
      <c r="CK869" s="131"/>
      <c r="CL869" s="131"/>
      <c r="CM869" s="131"/>
      <c r="CN869" s="131"/>
      <c r="CO869" s="131"/>
      <c r="CP869" s="131"/>
      <c r="CQ869" s="131"/>
    </row>
    <row r="870" spans="1:95" ht="15" hidden="1" x14ac:dyDescent="0.25">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c r="AC870" s="131"/>
      <c r="AD870" s="131"/>
      <c r="AE870" s="131"/>
      <c r="AF870" s="131"/>
      <c r="AG870" s="131"/>
      <c r="AH870" s="131"/>
      <c r="AI870" s="131"/>
      <c r="AJ870" s="131"/>
      <c r="AK870" s="131"/>
      <c r="AL870" s="131"/>
      <c r="AM870" s="131"/>
      <c r="AN870" s="131"/>
      <c r="AO870" s="131"/>
      <c r="AP870" s="131"/>
      <c r="AQ870" s="131"/>
      <c r="AR870" s="131"/>
      <c r="AS870" s="131"/>
      <c r="AT870" s="131"/>
      <c r="AU870" s="131"/>
      <c r="AV870" s="131"/>
      <c r="AW870" s="131"/>
      <c r="AX870" s="131"/>
      <c r="AY870" s="131"/>
      <c r="AZ870" s="131"/>
      <c r="BA870" s="131"/>
      <c r="BB870" s="131"/>
      <c r="BC870" s="131"/>
      <c r="BD870" s="131"/>
      <c r="BE870" s="131"/>
      <c r="BF870" s="131"/>
      <c r="BG870" s="131"/>
      <c r="BH870" s="131"/>
      <c r="BI870" s="131"/>
      <c r="BJ870" s="131"/>
      <c r="BK870" s="131"/>
      <c r="BL870" s="131"/>
      <c r="BM870" s="131"/>
      <c r="BN870" s="131"/>
      <c r="BO870" s="131"/>
      <c r="BP870" s="131"/>
      <c r="BQ870" s="131"/>
      <c r="BR870" s="131"/>
      <c r="BS870" s="131"/>
      <c r="BT870" s="131"/>
      <c r="BU870" s="131"/>
      <c r="BV870" s="131"/>
      <c r="BW870" s="131"/>
      <c r="BX870" s="131"/>
      <c r="BY870" s="131"/>
      <c r="BZ870" s="131"/>
      <c r="CA870" s="131"/>
      <c r="CB870" s="131"/>
      <c r="CC870" s="131"/>
      <c r="CD870" s="131"/>
      <c r="CE870" s="131"/>
      <c r="CF870" s="131"/>
      <c r="CG870" s="131"/>
      <c r="CH870" s="131"/>
      <c r="CI870" s="131"/>
      <c r="CJ870" s="131"/>
      <c r="CK870" s="131"/>
      <c r="CL870" s="131"/>
      <c r="CM870" s="131"/>
      <c r="CN870" s="131"/>
      <c r="CO870" s="131"/>
      <c r="CP870" s="131"/>
      <c r="CQ870" s="131"/>
    </row>
    <row r="871" spans="1:95" ht="15" hidden="1" x14ac:dyDescent="0.25">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c r="AC871" s="131"/>
      <c r="AD871" s="131"/>
      <c r="AE871" s="131"/>
      <c r="AF871" s="131"/>
      <c r="AG871" s="131"/>
      <c r="AH871" s="131"/>
      <c r="AI871" s="131"/>
      <c r="AJ871" s="131"/>
      <c r="AK871" s="131"/>
      <c r="AL871" s="131"/>
      <c r="AM871" s="131"/>
      <c r="AN871" s="131"/>
      <c r="AO871" s="131"/>
      <c r="AP871" s="131"/>
      <c r="AQ871" s="131"/>
      <c r="AR871" s="131"/>
      <c r="AS871" s="131"/>
      <c r="AT871" s="131"/>
      <c r="AU871" s="131"/>
      <c r="AV871" s="131"/>
      <c r="AW871" s="131"/>
      <c r="AX871" s="131"/>
      <c r="AY871" s="131"/>
      <c r="AZ871" s="131"/>
      <c r="BA871" s="131"/>
      <c r="BB871" s="131"/>
      <c r="BC871" s="131"/>
      <c r="BD871" s="131"/>
      <c r="BE871" s="131"/>
      <c r="BF871" s="131"/>
      <c r="BG871" s="131"/>
      <c r="BH871" s="131"/>
      <c r="BI871" s="131"/>
      <c r="BJ871" s="131"/>
      <c r="BK871" s="131"/>
      <c r="BL871" s="131"/>
      <c r="BM871" s="131"/>
      <c r="BN871" s="131"/>
      <c r="BO871" s="131"/>
      <c r="BP871" s="131"/>
      <c r="BQ871" s="131"/>
      <c r="BR871" s="131"/>
      <c r="BS871" s="131"/>
      <c r="BT871" s="131"/>
      <c r="BU871" s="131"/>
      <c r="BV871" s="131"/>
      <c r="BW871" s="131"/>
      <c r="BX871" s="131"/>
      <c r="BY871" s="131"/>
      <c r="BZ871" s="131"/>
      <c r="CA871" s="131"/>
      <c r="CB871" s="131"/>
      <c r="CC871" s="131"/>
      <c r="CD871" s="131"/>
      <c r="CE871" s="131"/>
      <c r="CF871" s="131"/>
      <c r="CG871" s="131"/>
      <c r="CH871" s="131"/>
      <c r="CI871" s="131"/>
      <c r="CJ871" s="131"/>
      <c r="CK871" s="131"/>
      <c r="CL871" s="131"/>
      <c r="CM871" s="131"/>
      <c r="CN871" s="131"/>
      <c r="CO871" s="131"/>
      <c r="CP871" s="131"/>
      <c r="CQ871" s="131"/>
    </row>
    <row r="872" spans="1:95" ht="15" hidden="1" x14ac:dyDescent="0.25">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c r="AC872" s="131"/>
      <c r="AD872" s="131"/>
      <c r="AE872" s="131"/>
      <c r="AF872" s="131"/>
      <c r="AG872" s="131"/>
      <c r="AH872" s="131"/>
      <c r="AI872" s="131"/>
      <c r="AJ872" s="131"/>
      <c r="AK872" s="131"/>
      <c r="AL872" s="131"/>
      <c r="AM872" s="131"/>
      <c r="AN872" s="131"/>
      <c r="AO872" s="131"/>
      <c r="AP872" s="131"/>
      <c r="AQ872" s="131"/>
      <c r="AR872" s="131"/>
      <c r="AS872" s="131"/>
      <c r="AT872" s="131"/>
      <c r="AU872" s="131"/>
      <c r="AV872" s="131"/>
      <c r="AW872" s="131"/>
      <c r="AX872" s="131"/>
      <c r="AY872" s="131"/>
      <c r="AZ872" s="131"/>
      <c r="BA872" s="131"/>
      <c r="BB872" s="131"/>
      <c r="BC872" s="131"/>
      <c r="BD872" s="131"/>
      <c r="BE872" s="131"/>
      <c r="BF872" s="131"/>
      <c r="BG872" s="131"/>
      <c r="BH872" s="131"/>
      <c r="BI872" s="131"/>
      <c r="BJ872" s="131"/>
      <c r="BK872" s="131"/>
      <c r="BL872" s="131"/>
      <c r="BM872" s="131"/>
      <c r="BN872" s="131"/>
      <c r="BO872" s="131"/>
      <c r="BP872" s="131"/>
      <c r="BQ872" s="131"/>
      <c r="BR872" s="131"/>
      <c r="BS872" s="131"/>
      <c r="BT872" s="131"/>
      <c r="BU872" s="131"/>
      <c r="BV872" s="131"/>
      <c r="BW872" s="131"/>
      <c r="BX872" s="131"/>
      <c r="BY872" s="131"/>
      <c r="BZ872" s="131"/>
      <c r="CA872" s="131"/>
      <c r="CB872" s="131"/>
      <c r="CC872" s="131"/>
      <c r="CD872" s="131"/>
      <c r="CE872" s="131"/>
      <c r="CF872" s="131"/>
      <c r="CG872" s="131"/>
      <c r="CH872" s="131"/>
      <c r="CI872" s="131"/>
      <c r="CJ872" s="131"/>
      <c r="CK872" s="131"/>
      <c r="CL872" s="131"/>
      <c r="CM872" s="131"/>
      <c r="CN872" s="131"/>
      <c r="CO872" s="131"/>
      <c r="CP872" s="131"/>
      <c r="CQ872" s="131"/>
    </row>
    <row r="873" spans="1:95" ht="15" hidden="1" x14ac:dyDescent="0.25">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1"/>
      <c r="AH873" s="131"/>
      <c r="AI873" s="131"/>
      <c r="AJ873" s="131"/>
      <c r="AK873" s="131"/>
      <c r="AL873" s="131"/>
      <c r="AM873" s="131"/>
      <c r="AN873" s="131"/>
      <c r="AO873" s="131"/>
      <c r="AP873" s="131"/>
      <c r="AQ873" s="131"/>
      <c r="AR873" s="131"/>
      <c r="AS873" s="131"/>
      <c r="AT873" s="131"/>
      <c r="AU873" s="131"/>
      <c r="AV873" s="131"/>
      <c r="AW873" s="131"/>
      <c r="AX873" s="131"/>
      <c r="AY873" s="131"/>
      <c r="AZ873" s="131"/>
      <c r="BA873" s="131"/>
      <c r="BB873" s="131"/>
      <c r="BC873" s="131"/>
      <c r="BD873" s="131"/>
      <c r="BE873" s="131"/>
      <c r="BF873" s="131"/>
      <c r="BG873" s="131"/>
      <c r="BH873" s="131"/>
      <c r="BI873" s="131"/>
      <c r="BJ873" s="131"/>
      <c r="BK873" s="131"/>
      <c r="BL873" s="131"/>
      <c r="BM873" s="131"/>
      <c r="BN873" s="131"/>
      <c r="BO873" s="131"/>
      <c r="BP873" s="131"/>
      <c r="BQ873" s="131"/>
      <c r="BR873" s="131"/>
      <c r="BS873" s="131"/>
      <c r="BT873" s="131"/>
      <c r="BU873" s="131"/>
      <c r="BV873" s="131"/>
      <c r="BW873" s="131"/>
      <c r="BX873" s="131"/>
      <c r="BY873" s="131"/>
      <c r="BZ873" s="131"/>
      <c r="CA873" s="131"/>
      <c r="CB873" s="131"/>
      <c r="CC873" s="131"/>
      <c r="CD873" s="131"/>
      <c r="CE873" s="131"/>
      <c r="CF873" s="131"/>
      <c r="CG873" s="131"/>
      <c r="CH873" s="131"/>
      <c r="CI873" s="131"/>
      <c r="CJ873" s="131"/>
      <c r="CK873" s="131"/>
      <c r="CL873" s="131"/>
      <c r="CM873" s="131"/>
      <c r="CN873" s="131"/>
      <c r="CO873" s="131"/>
      <c r="CP873" s="131"/>
      <c r="CQ873" s="131"/>
    </row>
    <row r="874" spans="1:95" ht="15" hidden="1" x14ac:dyDescent="0.25">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1"/>
      <c r="AH874" s="131"/>
      <c r="AI874" s="131"/>
      <c r="AJ874" s="131"/>
      <c r="AK874" s="131"/>
      <c r="AL874" s="131"/>
      <c r="AM874" s="131"/>
      <c r="AN874" s="131"/>
      <c r="AO874" s="131"/>
      <c r="AP874" s="131"/>
      <c r="AQ874" s="131"/>
      <c r="AR874" s="131"/>
      <c r="AS874" s="131"/>
      <c r="AT874" s="131"/>
      <c r="AU874" s="131"/>
      <c r="AV874" s="131"/>
      <c r="AW874" s="131"/>
      <c r="AX874" s="131"/>
      <c r="AY874" s="131"/>
      <c r="AZ874" s="131"/>
      <c r="BA874" s="131"/>
      <c r="BB874" s="131"/>
      <c r="BC874" s="131"/>
      <c r="BD874" s="131"/>
      <c r="BE874" s="131"/>
      <c r="BF874" s="131"/>
      <c r="BG874" s="131"/>
      <c r="BH874" s="131"/>
      <c r="BI874" s="131"/>
      <c r="BJ874" s="131"/>
      <c r="BK874" s="131"/>
      <c r="BL874" s="131"/>
      <c r="BM874" s="131"/>
      <c r="BN874" s="131"/>
      <c r="BO874" s="131"/>
      <c r="BP874" s="131"/>
      <c r="BQ874" s="131"/>
      <c r="BR874" s="131"/>
      <c r="BS874" s="131"/>
      <c r="BT874" s="131"/>
      <c r="BU874" s="131"/>
      <c r="BV874" s="131"/>
      <c r="BW874" s="131"/>
      <c r="BX874" s="131"/>
      <c r="BY874" s="131"/>
      <c r="BZ874" s="131"/>
      <c r="CA874" s="131"/>
      <c r="CB874" s="131"/>
      <c r="CC874" s="131"/>
      <c r="CD874" s="131"/>
      <c r="CE874" s="131"/>
      <c r="CF874" s="131"/>
      <c r="CG874" s="131"/>
      <c r="CH874" s="131"/>
      <c r="CI874" s="131"/>
      <c r="CJ874" s="131"/>
      <c r="CK874" s="131"/>
      <c r="CL874" s="131"/>
      <c r="CM874" s="131"/>
      <c r="CN874" s="131"/>
      <c r="CO874" s="131"/>
      <c r="CP874" s="131"/>
      <c r="CQ874" s="131"/>
    </row>
    <row r="875" spans="1:95" ht="15" hidden="1" x14ac:dyDescent="0.25">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1"/>
      <c r="AH875" s="131"/>
      <c r="AI875" s="131"/>
      <c r="AJ875" s="131"/>
      <c r="AK875" s="131"/>
      <c r="AL875" s="131"/>
      <c r="AM875" s="131"/>
      <c r="AN875" s="131"/>
      <c r="AO875" s="131"/>
      <c r="AP875" s="131"/>
      <c r="AQ875" s="131"/>
      <c r="AR875" s="131"/>
      <c r="AS875" s="131"/>
      <c r="AT875" s="131"/>
      <c r="AU875" s="131"/>
      <c r="AV875" s="131"/>
      <c r="AW875" s="131"/>
      <c r="AX875" s="131"/>
      <c r="AY875" s="131"/>
      <c r="AZ875" s="131"/>
      <c r="BA875" s="131"/>
      <c r="BB875" s="131"/>
      <c r="BC875" s="131"/>
      <c r="BD875" s="131"/>
      <c r="BE875" s="131"/>
      <c r="BF875" s="131"/>
      <c r="BG875" s="131"/>
      <c r="BH875" s="131"/>
      <c r="BI875" s="131"/>
      <c r="BJ875" s="131"/>
      <c r="BK875" s="131"/>
      <c r="BL875" s="131"/>
      <c r="BM875" s="131"/>
      <c r="BN875" s="131"/>
      <c r="BO875" s="131"/>
      <c r="BP875" s="131"/>
      <c r="BQ875" s="131"/>
      <c r="BR875" s="131"/>
      <c r="BS875" s="131"/>
      <c r="BT875" s="131"/>
      <c r="BU875" s="131"/>
      <c r="BV875" s="131"/>
      <c r="BW875" s="131"/>
      <c r="BX875" s="131"/>
      <c r="BY875" s="131"/>
      <c r="BZ875" s="131"/>
      <c r="CA875" s="131"/>
      <c r="CB875" s="131"/>
      <c r="CC875" s="131"/>
      <c r="CD875" s="131"/>
      <c r="CE875" s="131"/>
      <c r="CF875" s="131"/>
      <c r="CG875" s="131"/>
      <c r="CH875" s="131"/>
      <c r="CI875" s="131"/>
      <c r="CJ875" s="131"/>
      <c r="CK875" s="131"/>
      <c r="CL875" s="131"/>
      <c r="CM875" s="131"/>
      <c r="CN875" s="131"/>
      <c r="CO875" s="131"/>
      <c r="CP875" s="131"/>
      <c r="CQ875" s="131"/>
    </row>
    <row r="876" spans="1:95" ht="15" hidden="1" x14ac:dyDescent="0.25">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c r="AC876" s="131"/>
      <c r="AD876" s="131"/>
      <c r="AE876" s="131"/>
      <c r="AF876" s="131"/>
      <c r="AG876" s="131"/>
      <c r="AH876" s="131"/>
      <c r="AI876" s="131"/>
      <c r="AJ876" s="131"/>
      <c r="AK876" s="131"/>
      <c r="AL876" s="131"/>
      <c r="AM876" s="131"/>
      <c r="AN876" s="131"/>
      <c r="AO876" s="131"/>
      <c r="AP876" s="131"/>
      <c r="AQ876" s="131"/>
      <c r="AR876" s="131"/>
      <c r="AS876" s="131"/>
      <c r="AT876" s="131"/>
      <c r="AU876" s="131"/>
      <c r="AV876" s="131"/>
      <c r="AW876" s="131"/>
      <c r="AX876" s="131"/>
      <c r="AY876" s="131"/>
      <c r="AZ876" s="131"/>
      <c r="BA876" s="131"/>
      <c r="BB876" s="131"/>
      <c r="BC876" s="131"/>
      <c r="BD876" s="131"/>
      <c r="BE876" s="131"/>
      <c r="BF876" s="131"/>
      <c r="BG876" s="131"/>
      <c r="BH876" s="131"/>
      <c r="BI876" s="131"/>
      <c r="BJ876" s="131"/>
      <c r="BK876" s="131"/>
      <c r="BL876" s="131"/>
      <c r="BM876" s="131"/>
      <c r="BN876" s="131"/>
      <c r="BO876" s="131"/>
      <c r="BP876" s="131"/>
      <c r="BQ876" s="131"/>
      <c r="BR876" s="131"/>
      <c r="BS876" s="131"/>
      <c r="BT876" s="131"/>
      <c r="BU876" s="131"/>
      <c r="BV876" s="131"/>
      <c r="BW876" s="131"/>
      <c r="BX876" s="131"/>
      <c r="BY876" s="131"/>
      <c r="BZ876" s="131"/>
      <c r="CA876" s="131"/>
      <c r="CB876" s="131"/>
      <c r="CC876" s="131"/>
      <c r="CD876" s="131"/>
      <c r="CE876" s="131"/>
      <c r="CF876" s="131"/>
      <c r="CG876" s="131"/>
      <c r="CH876" s="131"/>
      <c r="CI876" s="131"/>
      <c r="CJ876" s="131"/>
      <c r="CK876" s="131"/>
      <c r="CL876" s="131"/>
      <c r="CM876" s="131"/>
      <c r="CN876" s="131"/>
      <c r="CO876" s="131"/>
      <c r="CP876" s="131"/>
      <c r="CQ876" s="131"/>
    </row>
    <row r="877" spans="1:95" ht="15" hidden="1" x14ac:dyDescent="0.25">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c r="AC877" s="131"/>
      <c r="AD877" s="131"/>
      <c r="AE877" s="131"/>
      <c r="AF877" s="131"/>
      <c r="AG877" s="131"/>
      <c r="AH877" s="131"/>
      <c r="AI877" s="131"/>
      <c r="AJ877" s="131"/>
      <c r="AK877" s="131"/>
      <c r="AL877" s="131"/>
      <c r="AM877" s="131"/>
      <c r="AN877" s="131"/>
      <c r="AO877" s="131"/>
      <c r="AP877" s="131"/>
      <c r="AQ877" s="131"/>
      <c r="AR877" s="131"/>
      <c r="AS877" s="131"/>
      <c r="AT877" s="131"/>
      <c r="AU877" s="131"/>
      <c r="AV877" s="131"/>
      <c r="AW877" s="131"/>
      <c r="AX877" s="131"/>
      <c r="AY877" s="131"/>
      <c r="AZ877" s="131"/>
      <c r="BA877" s="131"/>
      <c r="BB877" s="131"/>
      <c r="BC877" s="131"/>
      <c r="BD877" s="131"/>
      <c r="BE877" s="131"/>
      <c r="BF877" s="131"/>
      <c r="BG877" s="131"/>
      <c r="BH877" s="131"/>
      <c r="BI877" s="131"/>
      <c r="BJ877" s="131"/>
      <c r="BK877" s="131"/>
      <c r="BL877" s="131"/>
      <c r="BM877" s="131"/>
      <c r="BN877" s="131"/>
      <c r="BO877" s="131"/>
      <c r="BP877" s="131"/>
      <c r="BQ877" s="131"/>
      <c r="BR877" s="131"/>
      <c r="BS877" s="131"/>
      <c r="BT877" s="131"/>
      <c r="BU877" s="131"/>
      <c r="BV877" s="131"/>
      <c r="BW877" s="131"/>
      <c r="BX877" s="131"/>
      <c r="BY877" s="131"/>
      <c r="BZ877" s="131"/>
      <c r="CA877" s="131"/>
      <c r="CB877" s="131"/>
      <c r="CC877" s="131"/>
      <c r="CD877" s="131"/>
      <c r="CE877" s="131"/>
      <c r="CF877" s="131"/>
      <c r="CG877" s="131"/>
      <c r="CH877" s="131"/>
      <c r="CI877" s="131"/>
      <c r="CJ877" s="131"/>
      <c r="CK877" s="131"/>
      <c r="CL877" s="131"/>
      <c r="CM877" s="131"/>
      <c r="CN877" s="131"/>
      <c r="CO877" s="131"/>
      <c r="CP877" s="131"/>
      <c r="CQ877" s="131"/>
    </row>
    <row r="878" spans="1:95" ht="15" hidden="1" x14ac:dyDescent="0.25">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c r="AN878" s="131"/>
      <c r="AO878" s="131"/>
      <c r="AP878" s="131"/>
      <c r="AQ878" s="131"/>
      <c r="AR878" s="131"/>
      <c r="AS878" s="131"/>
      <c r="AT878" s="131"/>
      <c r="AU878" s="131"/>
      <c r="AV878" s="131"/>
      <c r="AW878" s="131"/>
      <c r="AX878" s="131"/>
      <c r="AY878" s="131"/>
      <c r="AZ878" s="131"/>
      <c r="BA878" s="131"/>
      <c r="BB878" s="131"/>
      <c r="BC878" s="131"/>
      <c r="BD878" s="131"/>
      <c r="BE878" s="131"/>
      <c r="BF878" s="131"/>
      <c r="BG878" s="131"/>
      <c r="BH878" s="131"/>
      <c r="BI878" s="131"/>
      <c r="BJ878" s="131"/>
      <c r="BK878" s="131"/>
      <c r="BL878" s="131"/>
      <c r="BM878" s="131"/>
      <c r="BN878" s="131"/>
      <c r="BO878" s="131"/>
      <c r="BP878" s="131"/>
      <c r="BQ878" s="131"/>
      <c r="BR878" s="131"/>
      <c r="BS878" s="131"/>
      <c r="BT878" s="131"/>
      <c r="BU878" s="131"/>
      <c r="BV878" s="131"/>
      <c r="BW878" s="131"/>
      <c r="BX878" s="131"/>
      <c r="BY878" s="131"/>
      <c r="BZ878" s="131"/>
      <c r="CA878" s="131"/>
      <c r="CB878" s="131"/>
      <c r="CC878" s="131"/>
      <c r="CD878" s="131"/>
      <c r="CE878" s="131"/>
      <c r="CF878" s="131"/>
      <c r="CG878" s="131"/>
      <c r="CH878" s="131"/>
      <c r="CI878" s="131"/>
      <c r="CJ878" s="131"/>
      <c r="CK878" s="131"/>
      <c r="CL878" s="131"/>
      <c r="CM878" s="131"/>
      <c r="CN878" s="131"/>
      <c r="CO878" s="131"/>
      <c r="CP878" s="131"/>
      <c r="CQ878" s="131"/>
    </row>
    <row r="879" spans="1:95" ht="15" hidden="1" x14ac:dyDescent="0.25">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c r="AN879" s="131"/>
      <c r="AO879" s="131"/>
      <c r="AP879" s="131"/>
      <c r="AQ879" s="131"/>
      <c r="AR879" s="131"/>
      <c r="AS879" s="131"/>
      <c r="AT879" s="131"/>
      <c r="AU879" s="131"/>
      <c r="AV879" s="131"/>
      <c r="AW879" s="131"/>
      <c r="AX879" s="131"/>
      <c r="AY879" s="131"/>
      <c r="AZ879" s="131"/>
      <c r="BA879" s="131"/>
      <c r="BB879" s="131"/>
      <c r="BC879" s="131"/>
      <c r="BD879" s="131"/>
      <c r="BE879" s="131"/>
      <c r="BF879" s="131"/>
      <c r="BG879" s="131"/>
      <c r="BH879" s="131"/>
      <c r="BI879" s="131"/>
      <c r="BJ879" s="131"/>
      <c r="BK879" s="131"/>
      <c r="BL879" s="131"/>
      <c r="BM879" s="131"/>
      <c r="BN879" s="131"/>
      <c r="BO879" s="131"/>
      <c r="BP879" s="131"/>
      <c r="BQ879" s="131"/>
      <c r="BR879" s="131"/>
      <c r="BS879" s="131"/>
      <c r="BT879" s="131"/>
      <c r="BU879" s="131"/>
      <c r="BV879" s="131"/>
      <c r="BW879" s="131"/>
      <c r="BX879" s="131"/>
      <c r="BY879" s="131"/>
      <c r="BZ879" s="131"/>
      <c r="CA879" s="131"/>
      <c r="CB879" s="131"/>
      <c r="CC879" s="131"/>
      <c r="CD879" s="131"/>
      <c r="CE879" s="131"/>
      <c r="CF879" s="131"/>
      <c r="CG879" s="131"/>
      <c r="CH879" s="131"/>
      <c r="CI879" s="131"/>
      <c r="CJ879" s="131"/>
      <c r="CK879" s="131"/>
      <c r="CL879" s="131"/>
      <c r="CM879" s="131"/>
      <c r="CN879" s="131"/>
      <c r="CO879" s="131"/>
      <c r="CP879" s="131"/>
      <c r="CQ879" s="131"/>
    </row>
    <row r="880" spans="1:95" ht="15" hidden="1" x14ac:dyDescent="0.25">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c r="AC880" s="131"/>
      <c r="AD880" s="131"/>
      <c r="AE880" s="131"/>
      <c r="AF880" s="131"/>
      <c r="AG880" s="131"/>
      <c r="AH880" s="131"/>
      <c r="AI880" s="131"/>
      <c r="AJ880" s="131"/>
      <c r="AK880" s="131"/>
      <c r="AL880" s="131"/>
      <c r="AM880" s="131"/>
      <c r="AN880" s="131"/>
      <c r="AO880" s="131"/>
      <c r="AP880" s="131"/>
      <c r="AQ880" s="131"/>
      <c r="AR880" s="131"/>
      <c r="AS880" s="131"/>
      <c r="AT880" s="131"/>
      <c r="AU880" s="131"/>
      <c r="AV880" s="131"/>
      <c r="AW880" s="131"/>
      <c r="AX880" s="131"/>
      <c r="AY880" s="131"/>
      <c r="AZ880" s="131"/>
      <c r="BA880" s="131"/>
      <c r="BB880" s="131"/>
      <c r="BC880" s="131"/>
      <c r="BD880" s="131"/>
      <c r="BE880" s="131"/>
      <c r="BF880" s="131"/>
      <c r="BG880" s="131"/>
      <c r="BH880" s="131"/>
      <c r="BI880" s="131"/>
      <c r="BJ880" s="131"/>
      <c r="BK880" s="131"/>
      <c r="BL880" s="131"/>
      <c r="BM880" s="131"/>
      <c r="BN880" s="131"/>
      <c r="BO880" s="131"/>
      <c r="BP880" s="131"/>
      <c r="BQ880" s="131"/>
      <c r="BR880" s="131"/>
      <c r="BS880" s="131"/>
      <c r="BT880" s="131"/>
      <c r="BU880" s="131"/>
      <c r="BV880" s="131"/>
      <c r="BW880" s="131"/>
      <c r="BX880" s="131"/>
      <c r="BY880" s="131"/>
      <c r="BZ880" s="131"/>
      <c r="CA880" s="131"/>
      <c r="CB880" s="131"/>
      <c r="CC880" s="131"/>
      <c r="CD880" s="131"/>
      <c r="CE880" s="131"/>
      <c r="CF880" s="131"/>
      <c r="CG880" s="131"/>
      <c r="CH880" s="131"/>
      <c r="CI880" s="131"/>
      <c r="CJ880" s="131"/>
      <c r="CK880" s="131"/>
      <c r="CL880" s="131"/>
      <c r="CM880" s="131"/>
      <c r="CN880" s="131"/>
      <c r="CO880" s="131"/>
      <c r="CP880" s="131"/>
      <c r="CQ880" s="131"/>
    </row>
    <row r="881" spans="1:95" ht="15" hidden="1" x14ac:dyDescent="0.25">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c r="AC881" s="131"/>
      <c r="AD881" s="131"/>
      <c r="AE881" s="131"/>
      <c r="AF881" s="131"/>
      <c r="AG881" s="131"/>
      <c r="AH881" s="131"/>
      <c r="AI881" s="131"/>
      <c r="AJ881" s="131"/>
      <c r="AK881" s="131"/>
      <c r="AL881" s="131"/>
      <c r="AM881" s="131"/>
      <c r="AN881" s="131"/>
      <c r="AO881" s="131"/>
      <c r="AP881" s="131"/>
      <c r="AQ881" s="131"/>
      <c r="AR881" s="131"/>
      <c r="AS881" s="131"/>
      <c r="AT881" s="131"/>
      <c r="AU881" s="131"/>
      <c r="AV881" s="131"/>
      <c r="AW881" s="131"/>
      <c r="AX881" s="131"/>
      <c r="AY881" s="131"/>
      <c r="AZ881" s="131"/>
      <c r="BA881" s="131"/>
      <c r="BB881" s="131"/>
      <c r="BC881" s="131"/>
      <c r="BD881" s="131"/>
      <c r="BE881" s="131"/>
      <c r="BF881" s="131"/>
      <c r="BG881" s="131"/>
      <c r="BH881" s="131"/>
      <c r="BI881" s="131"/>
      <c r="BJ881" s="131"/>
      <c r="BK881" s="131"/>
      <c r="BL881" s="131"/>
      <c r="BM881" s="131"/>
      <c r="BN881" s="131"/>
      <c r="BO881" s="131"/>
      <c r="BP881" s="131"/>
      <c r="BQ881" s="131"/>
      <c r="BR881" s="131"/>
      <c r="BS881" s="131"/>
      <c r="BT881" s="131"/>
      <c r="BU881" s="131"/>
      <c r="BV881" s="131"/>
      <c r="BW881" s="131"/>
      <c r="BX881" s="131"/>
      <c r="BY881" s="131"/>
      <c r="BZ881" s="131"/>
      <c r="CA881" s="131"/>
      <c r="CB881" s="131"/>
      <c r="CC881" s="131"/>
      <c r="CD881" s="131"/>
      <c r="CE881" s="131"/>
      <c r="CF881" s="131"/>
      <c r="CG881" s="131"/>
      <c r="CH881" s="131"/>
      <c r="CI881" s="131"/>
      <c r="CJ881" s="131"/>
      <c r="CK881" s="131"/>
      <c r="CL881" s="131"/>
      <c r="CM881" s="131"/>
      <c r="CN881" s="131"/>
      <c r="CO881" s="131"/>
      <c r="CP881" s="131"/>
      <c r="CQ881" s="131"/>
    </row>
    <row r="882" spans="1:95" ht="15" hidden="1" x14ac:dyDescent="0.25">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1"/>
      <c r="AH882" s="131"/>
      <c r="AI882" s="131"/>
      <c r="AJ882" s="131"/>
      <c r="AK882" s="131"/>
      <c r="AL882" s="131"/>
      <c r="AM882" s="131"/>
      <c r="AN882" s="131"/>
      <c r="AO882" s="131"/>
      <c r="AP882" s="131"/>
      <c r="AQ882" s="131"/>
      <c r="AR882" s="131"/>
      <c r="AS882" s="131"/>
      <c r="AT882" s="131"/>
      <c r="AU882" s="131"/>
      <c r="AV882" s="131"/>
      <c r="AW882" s="131"/>
      <c r="AX882" s="131"/>
      <c r="AY882" s="131"/>
      <c r="AZ882" s="131"/>
      <c r="BA882" s="131"/>
      <c r="BB882" s="131"/>
      <c r="BC882" s="131"/>
      <c r="BD882" s="131"/>
      <c r="BE882" s="131"/>
      <c r="BF882" s="131"/>
      <c r="BG882" s="131"/>
      <c r="BH882" s="131"/>
      <c r="BI882" s="131"/>
      <c r="BJ882" s="131"/>
      <c r="BK882" s="131"/>
      <c r="BL882" s="131"/>
      <c r="BM882" s="131"/>
      <c r="BN882" s="131"/>
      <c r="BO882" s="131"/>
      <c r="BP882" s="131"/>
      <c r="BQ882" s="131"/>
      <c r="BR882" s="131"/>
      <c r="BS882" s="131"/>
      <c r="BT882" s="131"/>
      <c r="BU882" s="131"/>
      <c r="BV882" s="131"/>
      <c r="BW882" s="131"/>
      <c r="BX882" s="131"/>
      <c r="BY882" s="131"/>
      <c r="BZ882" s="131"/>
      <c r="CA882" s="131"/>
      <c r="CB882" s="131"/>
      <c r="CC882" s="131"/>
      <c r="CD882" s="131"/>
      <c r="CE882" s="131"/>
      <c r="CF882" s="131"/>
      <c r="CG882" s="131"/>
      <c r="CH882" s="131"/>
      <c r="CI882" s="131"/>
      <c r="CJ882" s="131"/>
      <c r="CK882" s="131"/>
      <c r="CL882" s="131"/>
      <c r="CM882" s="131"/>
      <c r="CN882" s="131"/>
      <c r="CO882" s="131"/>
      <c r="CP882" s="131"/>
      <c r="CQ882" s="131"/>
    </row>
    <row r="883" spans="1:95" ht="15" hidden="1" x14ac:dyDescent="0.25">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1"/>
      <c r="AH883" s="131"/>
      <c r="AI883" s="131"/>
      <c r="AJ883" s="131"/>
      <c r="AK883" s="131"/>
      <c r="AL883" s="131"/>
      <c r="AM883" s="131"/>
      <c r="AN883" s="131"/>
      <c r="AO883" s="131"/>
      <c r="AP883" s="131"/>
      <c r="AQ883" s="131"/>
      <c r="AR883" s="131"/>
      <c r="AS883" s="131"/>
      <c r="AT883" s="131"/>
      <c r="AU883" s="131"/>
      <c r="AV883" s="131"/>
      <c r="AW883" s="131"/>
      <c r="AX883" s="131"/>
      <c r="AY883" s="131"/>
      <c r="AZ883" s="131"/>
      <c r="BA883" s="131"/>
      <c r="BB883" s="131"/>
      <c r="BC883" s="131"/>
      <c r="BD883" s="131"/>
      <c r="BE883" s="131"/>
      <c r="BF883" s="131"/>
      <c r="BG883" s="131"/>
      <c r="BH883" s="131"/>
      <c r="BI883" s="131"/>
      <c r="BJ883" s="131"/>
      <c r="BK883" s="131"/>
      <c r="BL883" s="131"/>
      <c r="BM883" s="131"/>
      <c r="BN883" s="131"/>
      <c r="BO883" s="131"/>
      <c r="BP883" s="131"/>
      <c r="BQ883" s="131"/>
      <c r="BR883" s="131"/>
      <c r="BS883" s="131"/>
      <c r="BT883" s="131"/>
      <c r="BU883" s="131"/>
      <c r="BV883" s="131"/>
      <c r="BW883" s="131"/>
      <c r="BX883" s="131"/>
      <c r="BY883" s="131"/>
      <c r="BZ883" s="131"/>
      <c r="CA883" s="131"/>
      <c r="CB883" s="131"/>
      <c r="CC883" s="131"/>
      <c r="CD883" s="131"/>
      <c r="CE883" s="131"/>
      <c r="CF883" s="131"/>
      <c r="CG883" s="131"/>
      <c r="CH883" s="131"/>
      <c r="CI883" s="131"/>
      <c r="CJ883" s="131"/>
      <c r="CK883" s="131"/>
      <c r="CL883" s="131"/>
      <c r="CM883" s="131"/>
      <c r="CN883" s="131"/>
      <c r="CO883" s="131"/>
      <c r="CP883" s="131"/>
      <c r="CQ883" s="131"/>
    </row>
    <row r="884" spans="1:95" ht="15" hidden="1" x14ac:dyDescent="0.25">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1"/>
      <c r="AH884" s="131"/>
      <c r="AI884" s="131"/>
      <c r="AJ884" s="131"/>
      <c r="AK884" s="131"/>
      <c r="AL884" s="131"/>
      <c r="AM884" s="131"/>
      <c r="AN884" s="131"/>
      <c r="AO884" s="131"/>
      <c r="AP884" s="131"/>
      <c r="AQ884" s="131"/>
      <c r="AR884" s="131"/>
      <c r="AS884" s="131"/>
      <c r="AT884" s="131"/>
      <c r="AU884" s="131"/>
      <c r="AV884" s="131"/>
      <c r="AW884" s="131"/>
      <c r="AX884" s="131"/>
      <c r="AY884" s="131"/>
      <c r="AZ884" s="131"/>
      <c r="BA884" s="131"/>
      <c r="BB884" s="131"/>
      <c r="BC884" s="131"/>
      <c r="BD884" s="131"/>
      <c r="BE884" s="131"/>
      <c r="BF884" s="131"/>
      <c r="BG884" s="131"/>
      <c r="BH884" s="131"/>
      <c r="BI884" s="131"/>
      <c r="BJ884" s="131"/>
      <c r="BK884" s="131"/>
      <c r="BL884" s="131"/>
      <c r="BM884" s="131"/>
      <c r="BN884" s="131"/>
      <c r="BO884" s="131"/>
      <c r="BP884" s="131"/>
      <c r="BQ884" s="131"/>
      <c r="BR884" s="131"/>
      <c r="BS884" s="131"/>
      <c r="BT884" s="131"/>
      <c r="BU884" s="131"/>
      <c r="BV884" s="131"/>
      <c r="BW884" s="131"/>
      <c r="BX884" s="131"/>
      <c r="BY884" s="131"/>
      <c r="BZ884" s="131"/>
      <c r="CA884" s="131"/>
      <c r="CB884" s="131"/>
      <c r="CC884" s="131"/>
      <c r="CD884" s="131"/>
      <c r="CE884" s="131"/>
      <c r="CF884" s="131"/>
      <c r="CG884" s="131"/>
      <c r="CH884" s="131"/>
      <c r="CI884" s="131"/>
      <c r="CJ884" s="131"/>
      <c r="CK884" s="131"/>
      <c r="CL884" s="131"/>
      <c r="CM884" s="131"/>
      <c r="CN884" s="131"/>
      <c r="CO884" s="131"/>
      <c r="CP884" s="131"/>
      <c r="CQ884" s="131"/>
    </row>
    <row r="885" spans="1:95" ht="15" hidden="1" x14ac:dyDescent="0.25">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c r="AC885" s="131"/>
      <c r="AD885" s="131"/>
      <c r="AE885" s="131"/>
      <c r="AF885" s="131"/>
      <c r="AG885" s="131"/>
      <c r="AH885" s="131"/>
      <c r="AI885" s="131"/>
      <c r="AJ885" s="131"/>
      <c r="AK885" s="131"/>
      <c r="AL885" s="131"/>
      <c r="AM885" s="131"/>
      <c r="AN885" s="131"/>
      <c r="AO885" s="131"/>
      <c r="AP885" s="131"/>
      <c r="AQ885" s="131"/>
      <c r="AR885" s="131"/>
      <c r="AS885" s="131"/>
      <c r="AT885" s="131"/>
      <c r="AU885" s="131"/>
      <c r="AV885" s="131"/>
      <c r="AW885" s="131"/>
      <c r="AX885" s="131"/>
      <c r="AY885" s="131"/>
      <c r="AZ885" s="131"/>
      <c r="BA885" s="131"/>
      <c r="BB885" s="131"/>
      <c r="BC885" s="131"/>
      <c r="BD885" s="131"/>
      <c r="BE885" s="131"/>
      <c r="BF885" s="131"/>
      <c r="BG885" s="131"/>
      <c r="BH885" s="131"/>
      <c r="BI885" s="131"/>
      <c r="BJ885" s="131"/>
      <c r="BK885" s="131"/>
      <c r="BL885" s="131"/>
      <c r="BM885" s="131"/>
      <c r="BN885" s="131"/>
      <c r="BO885" s="131"/>
      <c r="BP885" s="131"/>
      <c r="BQ885" s="131"/>
      <c r="BR885" s="131"/>
      <c r="BS885" s="131"/>
      <c r="BT885" s="131"/>
      <c r="BU885" s="131"/>
      <c r="BV885" s="131"/>
      <c r="BW885" s="131"/>
      <c r="BX885" s="131"/>
      <c r="BY885" s="131"/>
      <c r="BZ885" s="131"/>
      <c r="CA885" s="131"/>
      <c r="CB885" s="131"/>
      <c r="CC885" s="131"/>
      <c r="CD885" s="131"/>
      <c r="CE885" s="131"/>
      <c r="CF885" s="131"/>
      <c r="CG885" s="131"/>
      <c r="CH885" s="131"/>
      <c r="CI885" s="131"/>
      <c r="CJ885" s="131"/>
      <c r="CK885" s="131"/>
      <c r="CL885" s="131"/>
      <c r="CM885" s="131"/>
      <c r="CN885" s="131"/>
      <c r="CO885" s="131"/>
      <c r="CP885" s="131"/>
      <c r="CQ885" s="131"/>
    </row>
    <row r="886" spans="1:95" ht="15" hidden="1" x14ac:dyDescent="0.25">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c r="AN886" s="131"/>
      <c r="AO886" s="131"/>
      <c r="AP886" s="131"/>
      <c r="AQ886" s="131"/>
      <c r="AR886" s="131"/>
      <c r="AS886" s="131"/>
      <c r="AT886" s="131"/>
      <c r="AU886" s="131"/>
      <c r="AV886" s="131"/>
      <c r="AW886" s="131"/>
      <c r="AX886" s="131"/>
      <c r="AY886" s="131"/>
      <c r="AZ886" s="131"/>
      <c r="BA886" s="131"/>
      <c r="BB886" s="131"/>
      <c r="BC886" s="131"/>
      <c r="BD886" s="131"/>
      <c r="BE886" s="131"/>
      <c r="BF886" s="131"/>
      <c r="BG886" s="131"/>
      <c r="BH886" s="131"/>
      <c r="BI886" s="131"/>
      <c r="BJ886" s="131"/>
      <c r="BK886" s="131"/>
      <c r="BL886" s="131"/>
      <c r="BM886" s="131"/>
      <c r="BN886" s="131"/>
      <c r="BO886" s="131"/>
      <c r="BP886" s="131"/>
      <c r="BQ886" s="131"/>
      <c r="BR886" s="131"/>
      <c r="BS886" s="131"/>
      <c r="BT886" s="131"/>
      <c r="BU886" s="131"/>
      <c r="BV886" s="131"/>
      <c r="BW886" s="131"/>
      <c r="BX886" s="131"/>
      <c r="BY886" s="131"/>
      <c r="BZ886" s="131"/>
      <c r="CA886" s="131"/>
      <c r="CB886" s="131"/>
      <c r="CC886" s="131"/>
      <c r="CD886" s="131"/>
      <c r="CE886" s="131"/>
      <c r="CF886" s="131"/>
      <c r="CG886" s="131"/>
      <c r="CH886" s="131"/>
      <c r="CI886" s="131"/>
      <c r="CJ886" s="131"/>
      <c r="CK886" s="131"/>
      <c r="CL886" s="131"/>
      <c r="CM886" s="131"/>
      <c r="CN886" s="131"/>
      <c r="CO886" s="131"/>
      <c r="CP886" s="131"/>
      <c r="CQ886" s="131"/>
    </row>
    <row r="887" spans="1:95" ht="15" hidden="1" x14ac:dyDescent="0.25">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c r="AC887" s="131"/>
      <c r="AD887" s="131"/>
      <c r="AE887" s="131"/>
      <c r="AF887" s="131"/>
      <c r="AG887" s="131"/>
      <c r="AH887" s="131"/>
      <c r="AI887" s="131"/>
      <c r="AJ887" s="131"/>
      <c r="AK887" s="131"/>
      <c r="AL887" s="131"/>
      <c r="AM887" s="131"/>
      <c r="AN887" s="131"/>
      <c r="AO887" s="131"/>
      <c r="AP887" s="131"/>
      <c r="AQ887" s="131"/>
      <c r="AR887" s="131"/>
      <c r="AS887" s="131"/>
      <c r="AT887" s="131"/>
      <c r="AU887" s="131"/>
      <c r="AV887" s="131"/>
      <c r="AW887" s="131"/>
      <c r="AX887" s="131"/>
      <c r="AY887" s="131"/>
      <c r="AZ887" s="131"/>
      <c r="BA887" s="131"/>
      <c r="BB887" s="131"/>
      <c r="BC887" s="131"/>
      <c r="BD887" s="131"/>
      <c r="BE887" s="131"/>
      <c r="BF887" s="131"/>
      <c r="BG887" s="131"/>
      <c r="BH887" s="131"/>
      <c r="BI887" s="131"/>
      <c r="BJ887" s="131"/>
      <c r="BK887" s="131"/>
      <c r="BL887" s="131"/>
      <c r="BM887" s="131"/>
      <c r="BN887" s="131"/>
      <c r="BO887" s="131"/>
      <c r="BP887" s="131"/>
      <c r="BQ887" s="131"/>
      <c r="BR887" s="131"/>
      <c r="BS887" s="131"/>
      <c r="BT887" s="131"/>
      <c r="BU887" s="131"/>
      <c r="BV887" s="131"/>
      <c r="BW887" s="131"/>
      <c r="BX887" s="131"/>
      <c r="BY887" s="131"/>
      <c r="BZ887" s="131"/>
      <c r="CA887" s="131"/>
      <c r="CB887" s="131"/>
      <c r="CC887" s="131"/>
      <c r="CD887" s="131"/>
      <c r="CE887" s="131"/>
      <c r="CF887" s="131"/>
      <c r="CG887" s="131"/>
      <c r="CH887" s="131"/>
      <c r="CI887" s="131"/>
      <c r="CJ887" s="131"/>
      <c r="CK887" s="131"/>
      <c r="CL887" s="131"/>
      <c r="CM887" s="131"/>
      <c r="CN887" s="131"/>
      <c r="CO887" s="131"/>
      <c r="CP887" s="131"/>
      <c r="CQ887" s="131"/>
    </row>
    <row r="888" spans="1:95" ht="15" hidden="1" x14ac:dyDescent="0.25">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c r="AC888" s="131"/>
      <c r="AD888" s="131"/>
      <c r="AE888" s="131"/>
      <c r="AF888" s="131"/>
      <c r="AG888" s="131"/>
      <c r="AH888" s="131"/>
      <c r="AI888" s="131"/>
      <c r="AJ888" s="131"/>
      <c r="AK888" s="131"/>
      <c r="AL888" s="131"/>
      <c r="AM888" s="131"/>
      <c r="AN888" s="131"/>
      <c r="AO888" s="131"/>
      <c r="AP888" s="131"/>
      <c r="AQ888" s="131"/>
      <c r="AR888" s="131"/>
      <c r="AS888" s="131"/>
      <c r="AT888" s="131"/>
      <c r="AU888" s="131"/>
      <c r="AV888" s="131"/>
      <c r="AW888" s="131"/>
      <c r="AX888" s="131"/>
      <c r="AY888" s="131"/>
      <c r="AZ888" s="131"/>
      <c r="BA888" s="131"/>
      <c r="BB888" s="131"/>
      <c r="BC888" s="131"/>
      <c r="BD888" s="131"/>
      <c r="BE888" s="131"/>
      <c r="BF888" s="131"/>
      <c r="BG888" s="131"/>
      <c r="BH888" s="131"/>
      <c r="BI888" s="131"/>
      <c r="BJ888" s="131"/>
      <c r="BK888" s="131"/>
      <c r="BL888" s="131"/>
      <c r="BM888" s="131"/>
      <c r="BN888" s="131"/>
      <c r="BO888" s="131"/>
      <c r="BP888" s="131"/>
      <c r="BQ888" s="131"/>
      <c r="BR888" s="131"/>
      <c r="BS888" s="131"/>
      <c r="BT888" s="131"/>
      <c r="BU888" s="131"/>
      <c r="BV888" s="131"/>
      <c r="BW888" s="131"/>
      <c r="BX888" s="131"/>
      <c r="BY888" s="131"/>
      <c r="BZ888" s="131"/>
      <c r="CA888" s="131"/>
      <c r="CB888" s="131"/>
      <c r="CC888" s="131"/>
      <c r="CD888" s="131"/>
      <c r="CE888" s="131"/>
      <c r="CF888" s="131"/>
      <c r="CG888" s="131"/>
      <c r="CH888" s="131"/>
      <c r="CI888" s="131"/>
      <c r="CJ888" s="131"/>
      <c r="CK888" s="131"/>
      <c r="CL888" s="131"/>
      <c r="CM888" s="131"/>
      <c r="CN888" s="131"/>
      <c r="CO888" s="131"/>
      <c r="CP888" s="131"/>
      <c r="CQ888" s="131"/>
    </row>
    <row r="889" spans="1:95" ht="15" hidden="1" x14ac:dyDescent="0.25">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c r="AC889" s="131"/>
      <c r="AD889" s="131"/>
      <c r="AE889" s="131"/>
      <c r="AF889" s="131"/>
      <c r="AG889" s="131"/>
      <c r="AH889" s="131"/>
      <c r="AI889" s="131"/>
      <c r="AJ889" s="131"/>
      <c r="AK889" s="131"/>
      <c r="AL889" s="131"/>
      <c r="AM889" s="131"/>
      <c r="AN889" s="131"/>
      <c r="AO889" s="131"/>
      <c r="AP889" s="131"/>
      <c r="AQ889" s="131"/>
      <c r="AR889" s="131"/>
      <c r="AS889" s="131"/>
      <c r="AT889" s="131"/>
      <c r="AU889" s="131"/>
      <c r="AV889" s="131"/>
      <c r="AW889" s="131"/>
      <c r="AX889" s="131"/>
      <c r="AY889" s="131"/>
      <c r="AZ889" s="131"/>
      <c r="BA889" s="131"/>
      <c r="BB889" s="131"/>
      <c r="BC889" s="131"/>
      <c r="BD889" s="131"/>
      <c r="BE889" s="131"/>
      <c r="BF889" s="131"/>
      <c r="BG889" s="131"/>
      <c r="BH889" s="131"/>
      <c r="BI889" s="131"/>
      <c r="BJ889" s="131"/>
      <c r="BK889" s="131"/>
      <c r="BL889" s="131"/>
      <c r="BM889" s="131"/>
      <c r="BN889" s="131"/>
      <c r="BO889" s="131"/>
      <c r="BP889" s="131"/>
      <c r="BQ889" s="131"/>
      <c r="BR889" s="131"/>
      <c r="BS889" s="131"/>
      <c r="BT889" s="131"/>
      <c r="BU889" s="131"/>
      <c r="BV889" s="131"/>
      <c r="BW889" s="131"/>
      <c r="BX889" s="131"/>
      <c r="BY889" s="131"/>
      <c r="BZ889" s="131"/>
      <c r="CA889" s="131"/>
      <c r="CB889" s="131"/>
      <c r="CC889" s="131"/>
      <c r="CD889" s="131"/>
      <c r="CE889" s="131"/>
      <c r="CF889" s="131"/>
      <c r="CG889" s="131"/>
      <c r="CH889" s="131"/>
      <c r="CI889" s="131"/>
      <c r="CJ889" s="131"/>
      <c r="CK889" s="131"/>
      <c r="CL889" s="131"/>
      <c r="CM889" s="131"/>
      <c r="CN889" s="131"/>
      <c r="CO889" s="131"/>
      <c r="CP889" s="131"/>
      <c r="CQ889" s="131"/>
    </row>
    <row r="890" spans="1:95" ht="15" hidden="1" x14ac:dyDescent="0.25">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c r="AC890" s="131"/>
      <c r="AD890" s="131"/>
      <c r="AE890" s="131"/>
      <c r="AF890" s="131"/>
      <c r="AG890" s="131"/>
      <c r="AH890" s="131"/>
      <c r="AI890" s="131"/>
      <c r="AJ890" s="131"/>
      <c r="AK890" s="131"/>
      <c r="AL890" s="131"/>
      <c r="AM890" s="131"/>
      <c r="AN890" s="131"/>
      <c r="AO890" s="131"/>
      <c r="AP890" s="131"/>
      <c r="AQ890" s="131"/>
      <c r="AR890" s="131"/>
      <c r="AS890" s="131"/>
      <c r="AT890" s="131"/>
      <c r="AU890" s="131"/>
      <c r="AV890" s="131"/>
      <c r="AW890" s="131"/>
      <c r="AX890" s="131"/>
      <c r="AY890" s="131"/>
      <c r="AZ890" s="131"/>
      <c r="BA890" s="131"/>
      <c r="BB890" s="131"/>
      <c r="BC890" s="131"/>
      <c r="BD890" s="131"/>
      <c r="BE890" s="131"/>
      <c r="BF890" s="131"/>
      <c r="BG890" s="131"/>
      <c r="BH890" s="131"/>
      <c r="BI890" s="131"/>
      <c r="BJ890" s="131"/>
      <c r="BK890" s="131"/>
      <c r="BL890" s="131"/>
      <c r="BM890" s="131"/>
      <c r="BN890" s="131"/>
      <c r="BO890" s="131"/>
      <c r="BP890" s="131"/>
      <c r="BQ890" s="131"/>
      <c r="BR890" s="131"/>
      <c r="BS890" s="131"/>
      <c r="BT890" s="131"/>
      <c r="BU890" s="131"/>
      <c r="BV890" s="131"/>
      <c r="BW890" s="131"/>
      <c r="BX890" s="131"/>
      <c r="BY890" s="131"/>
      <c r="BZ890" s="131"/>
      <c r="CA890" s="131"/>
      <c r="CB890" s="131"/>
      <c r="CC890" s="131"/>
      <c r="CD890" s="131"/>
      <c r="CE890" s="131"/>
      <c r="CF890" s="131"/>
      <c r="CG890" s="131"/>
      <c r="CH890" s="131"/>
      <c r="CI890" s="131"/>
      <c r="CJ890" s="131"/>
      <c r="CK890" s="131"/>
      <c r="CL890" s="131"/>
      <c r="CM890" s="131"/>
      <c r="CN890" s="131"/>
      <c r="CO890" s="131"/>
      <c r="CP890" s="131"/>
      <c r="CQ890" s="131"/>
    </row>
    <row r="891" spans="1:95" ht="15" hidden="1" x14ac:dyDescent="0.25">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1"/>
      <c r="AH891" s="131"/>
      <c r="AI891" s="131"/>
      <c r="AJ891" s="131"/>
      <c r="AK891" s="131"/>
      <c r="AL891" s="131"/>
      <c r="AM891" s="131"/>
      <c r="AN891" s="131"/>
      <c r="AO891" s="131"/>
      <c r="AP891" s="131"/>
      <c r="AQ891" s="131"/>
      <c r="AR891" s="131"/>
      <c r="AS891" s="131"/>
      <c r="AT891" s="131"/>
      <c r="AU891" s="131"/>
      <c r="AV891" s="131"/>
      <c r="AW891" s="131"/>
      <c r="AX891" s="131"/>
      <c r="AY891" s="131"/>
      <c r="AZ891" s="131"/>
      <c r="BA891" s="131"/>
      <c r="BB891" s="131"/>
      <c r="BC891" s="131"/>
      <c r="BD891" s="131"/>
      <c r="BE891" s="131"/>
      <c r="BF891" s="131"/>
      <c r="BG891" s="131"/>
      <c r="BH891" s="131"/>
      <c r="BI891" s="131"/>
      <c r="BJ891" s="131"/>
      <c r="BK891" s="131"/>
      <c r="BL891" s="131"/>
      <c r="BM891" s="131"/>
      <c r="BN891" s="131"/>
      <c r="BO891" s="131"/>
      <c r="BP891" s="131"/>
      <c r="BQ891" s="131"/>
      <c r="BR891" s="131"/>
      <c r="BS891" s="131"/>
      <c r="BT891" s="131"/>
      <c r="BU891" s="131"/>
      <c r="BV891" s="131"/>
      <c r="BW891" s="131"/>
      <c r="BX891" s="131"/>
      <c r="BY891" s="131"/>
      <c r="BZ891" s="131"/>
      <c r="CA891" s="131"/>
      <c r="CB891" s="131"/>
      <c r="CC891" s="131"/>
      <c r="CD891" s="131"/>
      <c r="CE891" s="131"/>
      <c r="CF891" s="131"/>
      <c r="CG891" s="131"/>
      <c r="CH891" s="131"/>
      <c r="CI891" s="131"/>
      <c r="CJ891" s="131"/>
      <c r="CK891" s="131"/>
      <c r="CL891" s="131"/>
      <c r="CM891" s="131"/>
      <c r="CN891" s="131"/>
      <c r="CO891" s="131"/>
      <c r="CP891" s="131"/>
      <c r="CQ891" s="131"/>
    </row>
    <row r="892" spans="1:95" ht="15" hidden="1" x14ac:dyDescent="0.25">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c r="AA892" s="131"/>
      <c r="AB892" s="131"/>
      <c r="AC892" s="131"/>
      <c r="AD892" s="131"/>
      <c r="AE892" s="131"/>
      <c r="AF892" s="131"/>
      <c r="AG892" s="131"/>
      <c r="AH892" s="131"/>
      <c r="AI892" s="131"/>
      <c r="AJ892" s="131"/>
      <c r="AK892" s="131"/>
      <c r="AL892" s="131"/>
      <c r="AM892" s="131"/>
      <c r="AN892" s="131"/>
      <c r="AO892" s="131"/>
      <c r="AP892" s="131"/>
      <c r="AQ892" s="131"/>
      <c r="AR892" s="131"/>
      <c r="AS892" s="131"/>
      <c r="AT892" s="131"/>
      <c r="AU892" s="131"/>
      <c r="AV892" s="131"/>
      <c r="AW892" s="131"/>
      <c r="AX892" s="131"/>
      <c r="AY892" s="131"/>
      <c r="AZ892" s="131"/>
      <c r="BA892" s="131"/>
      <c r="BB892" s="131"/>
      <c r="BC892" s="131"/>
      <c r="BD892" s="131"/>
      <c r="BE892" s="131"/>
      <c r="BF892" s="131"/>
      <c r="BG892" s="131"/>
      <c r="BH892" s="131"/>
      <c r="BI892" s="131"/>
      <c r="BJ892" s="131"/>
      <c r="BK892" s="131"/>
      <c r="BL892" s="131"/>
      <c r="BM892" s="131"/>
      <c r="BN892" s="131"/>
      <c r="BO892" s="131"/>
      <c r="BP892" s="131"/>
      <c r="BQ892" s="131"/>
      <c r="BR892" s="131"/>
      <c r="BS892" s="131"/>
      <c r="BT892" s="131"/>
      <c r="BU892" s="131"/>
      <c r="BV892" s="131"/>
      <c r="BW892" s="131"/>
      <c r="BX892" s="131"/>
      <c r="BY892" s="131"/>
      <c r="BZ892" s="131"/>
      <c r="CA892" s="131"/>
      <c r="CB892" s="131"/>
      <c r="CC892" s="131"/>
      <c r="CD892" s="131"/>
      <c r="CE892" s="131"/>
      <c r="CF892" s="131"/>
      <c r="CG892" s="131"/>
      <c r="CH892" s="131"/>
      <c r="CI892" s="131"/>
      <c r="CJ892" s="131"/>
      <c r="CK892" s="131"/>
      <c r="CL892" s="131"/>
      <c r="CM892" s="131"/>
      <c r="CN892" s="131"/>
      <c r="CO892" s="131"/>
      <c r="CP892" s="131"/>
      <c r="CQ892" s="131"/>
    </row>
    <row r="893" spans="1:95" ht="15" hidden="1" x14ac:dyDescent="0.25">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c r="AA893" s="131"/>
      <c r="AB893" s="131"/>
      <c r="AC893" s="131"/>
      <c r="AD893" s="131"/>
      <c r="AE893" s="131"/>
      <c r="AF893" s="131"/>
      <c r="AG893" s="131"/>
      <c r="AH893" s="131"/>
      <c r="AI893" s="131"/>
      <c r="AJ893" s="131"/>
      <c r="AK893" s="131"/>
      <c r="AL893" s="131"/>
      <c r="AM893" s="131"/>
      <c r="AN893" s="131"/>
      <c r="AO893" s="131"/>
      <c r="AP893" s="131"/>
      <c r="AQ893" s="131"/>
      <c r="AR893" s="131"/>
      <c r="AS893" s="131"/>
      <c r="AT893" s="131"/>
      <c r="AU893" s="131"/>
      <c r="AV893" s="131"/>
      <c r="AW893" s="131"/>
      <c r="AX893" s="131"/>
      <c r="AY893" s="131"/>
      <c r="AZ893" s="131"/>
      <c r="BA893" s="131"/>
      <c r="BB893" s="131"/>
      <c r="BC893" s="131"/>
      <c r="BD893" s="131"/>
      <c r="BE893" s="131"/>
      <c r="BF893" s="131"/>
      <c r="BG893" s="131"/>
      <c r="BH893" s="131"/>
      <c r="BI893" s="131"/>
      <c r="BJ893" s="131"/>
      <c r="BK893" s="131"/>
      <c r="BL893" s="131"/>
      <c r="BM893" s="131"/>
      <c r="BN893" s="131"/>
      <c r="BO893" s="131"/>
      <c r="BP893" s="131"/>
      <c r="BQ893" s="131"/>
      <c r="BR893" s="131"/>
      <c r="BS893" s="131"/>
      <c r="BT893" s="131"/>
      <c r="BU893" s="131"/>
      <c r="BV893" s="131"/>
      <c r="BW893" s="131"/>
      <c r="BX893" s="131"/>
      <c r="BY893" s="131"/>
      <c r="BZ893" s="131"/>
      <c r="CA893" s="131"/>
      <c r="CB893" s="131"/>
      <c r="CC893" s="131"/>
      <c r="CD893" s="131"/>
      <c r="CE893" s="131"/>
      <c r="CF893" s="131"/>
      <c r="CG893" s="131"/>
      <c r="CH893" s="131"/>
      <c r="CI893" s="131"/>
      <c r="CJ893" s="131"/>
      <c r="CK893" s="131"/>
      <c r="CL893" s="131"/>
      <c r="CM893" s="131"/>
      <c r="CN893" s="131"/>
      <c r="CO893" s="131"/>
      <c r="CP893" s="131"/>
      <c r="CQ893" s="131"/>
    </row>
    <row r="894" spans="1:95" ht="15" hidden="1" x14ac:dyDescent="0.25">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c r="AA894" s="131"/>
      <c r="AB894" s="131"/>
      <c r="AC894" s="131"/>
      <c r="AD894" s="131"/>
      <c r="AE894" s="131"/>
      <c r="AF894" s="131"/>
      <c r="AG894" s="131"/>
      <c r="AH894" s="131"/>
      <c r="AI894" s="131"/>
      <c r="AJ894" s="131"/>
      <c r="AK894" s="131"/>
      <c r="AL894" s="131"/>
      <c r="AM894" s="131"/>
      <c r="AN894" s="131"/>
      <c r="AO894" s="131"/>
      <c r="AP894" s="131"/>
      <c r="AQ894" s="131"/>
      <c r="AR894" s="131"/>
      <c r="AS894" s="131"/>
      <c r="AT894" s="131"/>
      <c r="AU894" s="131"/>
      <c r="AV894" s="131"/>
      <c r="AW894" s="131"/>
      <c r="AX894" s="131"/>
      <c r="AY894" s="131"/>
      <c r="AZ894" s="131"/>
      <c r="BA894" s="131"/>
      <c r="BB894" s="131"/>
      <c r="BC894" s="131"/>
      <c r="BD894" s="131"/>
      <c r="BE894" s="131"/>
      <c r="BF894" s="131"/>
      <c r="BG894" s="131"/>
      <c r="BH894" s="131"/>
      <c r="BI894" s="131"/>
      <c r="BJ894" s="131"/>
      <c r="BK894" s="131"/>
      <c r="BL894" s="131"/>
      <c r="BM894" s="131"/>
      <c r="BN894" s="131"/>
      <c r="BO894" s="131"/>
      <c r="BP894" s="131"/>
      <c r="BQ894" s="131"/>
      <c r="BR894" s="131"/>
      <c r="BS894" s="131"/>
      <c r="BT894" s="131"/>
      <c r="BU894" s="131"/>
      <c r="BV894" s="131"/>
      <c r="BW894" s="131"/>
      <c r="BX894" s="131"/>
      <c r="BY894" s="131"/>
      <c r="BZ894" s="131"/>
      <c r="CA894" s="131"/>
      <c r="CB894" s="131"/>
      <c r="CC894" s="131"/>
      <c r="CD894" s="131"/>
      <c r="CE894" s="131"/>
      <c r="CF894" s="131"/>
      <c r="CG894" s="131"/>
      <c r="CH894" s="131"/>
      <c r="CI894" s="131"/>
      <c r="CJ894" s="131"/>
      <c r="CK894" s="131"/>
      <c r="CL894" s="131"/>
      <c r="CM894" s="131"/>
      <c r="CN894" s="131"/>
      <c r="CO894" s="131"/>
      <c r="CP894" s="131"/>
      <c r="CQ894" s="131"/>
    </row>
    <row r="895" spans="1:95" ht="15" hidden="1" x14ac:dyDescent="0.25">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c r="AA895" s="131"/>
      <c r="AB895" s="131"/>
      <c r="AC895" s="131"/>
      <c r="AD895" s="131"/>
      <c r="AE895" s="131"/>
      <c r="AF895" s="131"/>
      <c r="AG895" s="131"/>
      <c r="AH895" s="131"/>
      <c r="AI895" s="131"/>
      <c r="AJ895" s="131"/>
      <c r="AK895" s="131"/>
      <c r="AL895" s="131"/>
      <c r="AM895" s="131"/>
      <c r="AN895" s="131"/>
      <c r="AO895" s="131"/>
      <c r="AP895" s="131"/>
      <c r="AQ895" s="131"/>
      <c r="AR895" s="131"/>
      <c r="AS895" s="131"/>
      <c r="AT895" s="131"/>
      <c r="AU895" s="131"/>
      <c r="AV895" s="131"/>
      <c r="AW895" s="131"/>
      <c r="AX895" s="131"/>
      <c r="AY895" s="131"/>
      <c r="AZ895" s="131"/>
      <c r="BA895" s="131"/>
      <c r="BB895" s="131"/>
      <c r="BC895" s="131"/>
      <c r="BD895" s="131"/>
      <c r="BE895" s="131"/>
      <c r="BF895" s="131"/>
      <c r="BG895" s="131"/>
      <c r="BH895" s="131"/>
      <c r="BI895" s="131"/>
      <c r="BJ895" s="131"/>
      <c r="BK895" s="131"/>
      <c r="BL895" s="131"/>
      <c r="BM895" s="131"/>
      <c r="BN895" s="131"/>
      <c r="BO895" s="131"/>
      <c r="BP895" s="131"/>
      <c r="BQ895" s="131"/>
      <c r="BR895" s="131"/>
      <c r="BS895" s="131"/>
      <c r="BT895" s="131"/>
      <c r="BU895" s="131"/>
      <c r="BV895" s="131"/>
      <c r="BW895" s="131"/>
      <c r="BX895" s="131"/>
      <c r="BY895" s="131"/>
      <c r="BZ895" s="131"/>
      <c r="CA895" s="131"/>
      <c r="CB895" s="131"/>
      <c r="CC895" s="131"/>
      <c r="CD895" s="131"/>
      <c r="CE895" s="131"/>
      <c r="CF895" s="131"/>
      <c r="CG895" s="131"/>
      <c r="CH895" s="131"/>
      <c r="CI895" s="131"/>
      <c r="CJ895" s="131"/>
      <c r="CK895" s="131"/>
      <c r="CL895" s="131"/>
      <c r="CM895" s="131"/>
      <c r="CN895" s="131"/>
      <c r="CO895" s="131"/>
      <c r="CP895" s="131"/>
      <c r="CQ895" s="131"/>
    </row>
    <row r="896" spans="1:95" ht="15" hidden="1" x14ac:dyDescent="0.25">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c r="AA896" s="131"/>
      <c r="AB896" s="131"/>
      <c r="AC896" s="131"/>
      <c r="AD896" s="131"/>
      <c r="AE896" s="131"/>
      <c r="AF896" s="131"/>
      <c r="AG896" s="131"/>
      <c r="AH896" s="131"/>
      <c r="AI896" s="131"/>
      <c r="AJ896" s="131"/>
      <c r="AK896" s="131"/>
      <c r="AL896" s="131"/>
      <c r="AM896" s="131"/>
      <c r="AN896" s="131"/>
      <c r="AO896" s="131"/>
      <c r="AP896" s="131"/>
      <c r="AQ896" s="131"/>
      <c r="AR896" s="131"/>
      <c r="AS896" s="131"/>
      <c r="AT896" s="131"/>
      <c r="AU896" s="131"/>
      <c r="AV896" s="131"/>
      <c r="AW896" s="131"/>
      <c r="AX896" s="131"/>
      <c r="AY896" s="131"/>
      <c r="AZ896" s="131"/>
      <c r="BA896" s="131"/>
      <c r="BB896" s="131"/>
      <c r="BC896" s="131"/>
      <c r="BD896" s="131"/>
      <c r="BE896" s="131"/>
      <c r="BF896" s="131"/>
      <c r="BG896" s="131"/>
      <c r="BH896" s="131"/>
      <c r="BI896" s="131"/>
      <c r="BJ896" s="131"/>
      <c r="BK896" s="131"/>
      <c r="BL896" s="131"/>
      <c r="BM896" s="131"/>
      <c r="BN896" s="131"/>
      <c r="BO896" s="131"/>
      <c r="BP896" s="131"/>
      <c r="BQ896" s="131"/>
      <c r="BR896" s="131"/>
      <c r="BS896" s="131"/>
      <c r="BT896" s="131"/>
      <c r="BU896" s="131"/>
      <c r="BV896" s="131"/>
      <c r="BW896" s="131"/>
      <c r="BX896" s="131"/>
      <c r="BY896" s="131"/>
      <c r="BZ896" s="131"/>
      <c r="CA896" s="131"/>
      <c r="CB896" s="131"/>
      <c r="CC896" s="131"/>
      <c r="CD896" s="131"/>
      <c r="CE896" s="131"/>
      <c r="CF896" s="131"/>
      <c r="CG896" s="131"/>
      <c r="CH896" s="131"/>
      <c r="CI896" s="131"/>
      <c r="CJ896" s="131"/>
      <c r="CK896" s="131"/>
      <c r="CL896" s="131"/>
      <c r="CM896" s="131"/>
      <c r="CN896" s="131"/>
      <c r="CO896" s="131"/>
      <c r="CP896" s="131"/>
      <c r="CQ896" s="131"/>
    </row>
    <row r="897" spans="1:95" ht="15" hidden="1" x14ac:dyDescent="0.25">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c r="AA897" s="131"/>
      <c r="AB897" s="131"/>
      <c r="AC897" s="131"/>
      <c r="AD897" s="131"/>
      <c r="AE897" s="131"/>
      <c r="AF897" s="131"/>
      <c r="AG897" s="131"/>
      <c r="AH897" s="131"/>
      <c r="AI897" s="131"/>
      <c r="AJ897" s="131"/>
      <c r="AK897" s="131"/>
      <c r="AL897" s="131"/>
      <c r="AM897" s="131"/>
      <c r="AN897" s="131"/>
      <c r="AO897" s="131"/>
      <c r="AP897" s="131"/>
      <c r="AQ897" s="131"/>
      <c r="AR897" s="131"/>
      <c r="AS897" s="131"/>
      <c r="AT897" s="131"/>
      <c r="AU897" s="131"/>
      <c r="AV897" s="131"/>
      <c r="AW897" s="131"/>
      <c r="AX897" s="131"/>
      <c r="AY897" s="131"/>
      <c r="AZ897" s="131"/>
      <c r="BA897" s="131"/>
      <c r="BB897" s="131"/>
      <c r="BC897" s="131"/>
      <c r="BD897" s="131"/>
      <c r="BE897" s="131"/>
      <c r="BF897" s="131"/>
      <c r="BG897" s="131"/>
      <c r="BH897" s="131"/>
      <c r="BI897" s="131"/>
      <c r="BJ897" s="131"/>
      <c r="BK897" s="131"/>
      <c r="BL897" s="131"/>
      <c r="BM897" s="131"/>
      <c r="BN897" s="131"/>
      <c r="BO897" s="131"/>
      <c r="BP897" s="131"/>
      <c r="BQ897" s="131"/>
      <c r="BR897" s="131"/>
      <c r="BS897" s="131"/>
      <c r="BT897" s="131"/>
      <c r="BU897" s="131"/>
      <c r="BV897" s="131"/>
      <c r="BW897" s="131"/>
      <c r="BX897" s="131"/>
      <c r="BY897" s="131"/>
      <c r="BZ897" s="131"/>
      <c r="CA897" s="131"/>
      <c r="CB897" s="131"/>
      <c r="CC897" s="131"/>
      <c r="CD897" s="131"/>
      <c r="CE897" s="131"/>
      <c r="CF897" s="131"/>
      <c r="CG897" s="131"/>
      <c r="CH897" s="131"/>
      <c r="CI897" s="131"/>
      <c r="CJ897" s="131"/>
      <c r="CK897" s="131"/>
      <c r="CL897" s="131"/>
      <c r="CM897" s="131"/>
      <c r="CN897" s="131"/>
      <c r="CO897" s="131"/>
      <c r="CP897" s="131"/>
      <c r="CQ897" s="131"/>
    </row>
    <row r="898" spans="1:95" ht="15" hidden="1" x14ac:dyDescent="0.25">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c r="AA898" s="131"/>
      <c r="AB898" s="131"/>
      <c r="AC898" s="131"/>
      <c r="AD898" s="131"/>
      <c r="AE898" s="131"/>
      <c r="AF898" s="131"/>
      <c r="AG898" s="131"/>
      <c r="AH898" s="131"/>
      <c r="AI898" s="131"/>
      <c r="AJ898" s="131"/>
      <c r="AK898" s="131"/>
      <c r="AL898" s="131"/>
      <c r="AM898" s="131"/>
      <c r="AN898" s="131"/>
      <c r="AO898" s="131"/>
      <c r="AP898" s="131"/>
      <c r="AQ898" s="131"/>
      <c r="AR898" s="131"/>
      <c r="AS898" s="131"/>
      <c r="AT898" s="131"/>
      <c r="AU898" s="131"/>
      <c r="AV898" s="131"/>
      <c r="AW898" s="131"/>
      <c r="AX898" s="131"/>
      <c r="AY898" s="131"/>
      <c r="AZ898" s="131"/>
      <c r="BA898" s="131"/>
      <c r="BB898" s="131"/>
      <c r="BC898" s="131"/>
      <c r="BD898" s="131"/>
      <c r="BE898" s="131"/>
      <c r="BF898" s="131"/>
      <c r="BG898" s="131"/>
      <c r="BH898" s="131"/>
      <c r="BI898" s="131"/>
      <c r="BJ898" s="131"/>
      <c r="BK898" s="131"/>
      <c r="BL898" s="131"/>
      <c r="BM898" s="131"/>
      <c r="BN898" s="131"/>
      <c r="BO898" s="131"/>
      <c r="BP898" s="131"/>
      <c r="BQ898" s="131"/>
      <c r="BR898" s="131"/>
      <c r="BS898" s="131"/>
      <c r="BT898" s="131"/>
      <c r="BU898" s="131"/>
      <c r="BV898" s="131"/>
      <c r="BW898" s="131"/>
      <c r="BX898" s="131"/>
      <c r="BY898" s="131"/>
      <c r="BZ898" s="131"/>
      <c r="CA898" s="131"/>
      <c r="CB898" s="131"/>
      <c r="CC898" s="131"/>
      <c r="CD898" s="131"/>
      <c r="CE898" s="131"/>
      <c r="CF898" s="131"/>
      <c r="CG898" s="131"/>
      <c r="CH898" s="131"/>
      <c r="CI898" s="131"/>
      <c r="CJ898" s="131"/>
      <c r="CK898" s="131"/>
      <c r="CL898" s="131"/>
      <c r="CM898" s="131"/>
      <c r="CN898" s="131"/>
      <c r="CO898" s="131"/>
      <c r="CP898" s="131"/>
      <c r="CQ898" s="131"/>
    </row>
    <row r="899" spans="1:95" ht="15" hidden="1" x14ac:dyDescent="0.25">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c r="AA899" s="131"/>
      <c r="AB899" s="131"/>
      <c r="AC899" s="131"/>
      <c r="AD899" s="131"/>
      <c r="AE899" s="131"/>
      <c r="AF899" s="131"/>
      <c r="AG899" s="131"/>
      <c r="AH899" s="131"/>
      <c r="AI899" s="131"/>
      <c r="AJ899" s="131"/>
      <c r="AK899" s="131"/>
      <c r="AL899" s="131"/>
      <c r="AM899" s="131"/>
      <c r="AN899" s="131"/>
      <c r="AO899" s="131"/>
      <c r="AP899" s="131"/>
      <c r="AQ899" s="131"/>
      <c r="AR899" s="131"/>
      <c r="AS899" s="131"/>
      <c r="AT899" s="131"/>
      <c r="AU899" s="131"/>
      <c r="AV899" s="131"/>
      <c r="AW899" s="131"/>
      <c r="AX899" s="131"/>
      <c r="AY899" s="131"/>
      <c r="AZ899" s="131"/>
      <c r="BA899" s="131"/>
      <c r="BB899" s="131"/>
      <c r="BC899" s="131"/>
      <c r="BD899" s="131"/>
      <c r="BE899" s="131"/>
      <c r="BF899" s="131"/>
      <c r="BG899" s="131"/>
      <c r="BH899" s="131"/>
      <c r="BI899" s="131"/>
      <c r="BJ899" s="131"/>
      <c r="BK899" s="131"/>
      <c r="BL899" s="131"/>
      <c r="BM899" s="131"/>
      <c r="BN899" s="131"/>
      <c r="BO899" s="131"/>
      <c r="BP899" s="131"/>
      <c r="BQ899" s="131"/>
      <c r="BR899" s="131"/>
      <c r="BS899" s="131"/>
      <c r="BT899" s="131"/>
      <c r="BU899" s="131"/>
      <c r="BV899" s="131"/>
      <c r="BW899" s="131"/>
      <c r="BX899" s="131"/>
      <c r="BY899" s="131"/>
      <c r="BZ899" s="131"/>
      <c r="CA899" s="131"/>
      <c r="CB899" s="131"/>
      <c r="CC899" s="131"/>
      <c r="CD899" s="131"/>
      <c r="CE899" s="131"/>
      <c r="CF899" s="131"/>
      <c r="CG899" s="131"/>
      <c r="CH899" s="131"/>
      <c r="CI899" s="131"/>
      <c r="CJ899" s="131"/>
      <c r="CK899" s="131"/>
      <c r="CL899" s="131"/>
      <c r="CM899" s="131"/>
      <c r="CN899" s="131"/>
      <c r="CO899" s="131"/>
      <c r="CP899" s="131"/>
      <c r="CQ899" s="131"/>
    </row>
    <row r="900" spans="1:95" ht="15" hidden="1" x14ac:dyDescent="0.25">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c r="AA900" s="131"/>
      <c r="AB900" s="131"/>
      <c r="AC900" s="131"/>
      <c r="AD900" s="131"/>
      <c r="AE900" s="131"/>
      <c r="AF900" s="131"/>
      <c r="AG900" s="131"/>
      <c r="AH900" s="131"/>
      <c r="AI900" s="131"/>
      <c r="AJ900" s="131"/>
      <c r="AK900" s="131"/>
      <c r="AL900" s="131"/>
      <c r="AM900" s="131"/>
      <c r="AN900" s="131"/>
      <c r="AO900" s="131"/>
      <c r="AP900" s="131"/>
      <c r="AQ900" s="131"/>
      <c r="AR900" s="131"/>
      <c r="AS900" s="131"/>
      <c r="AT900" s="131"/>
      <c r="AU900" s="131"/>
      <c r="AV900" s="131"/>
      <c r="AW900" s="131"/>
      <c r="AX900" s="131"/>
      <c r="AY900" s="131"/>
      <c r="AZ900" s="131"/>
      <c r="BA900" s="131"/>
      <c r="BB900" s="131"/>
      <c r="BC900" s="131"/>
      <c r="BD900" s="131"/>
      <c r="BE900" s="131"/>
      <c r="BF900" s="131"/>
      <c r="BG900" s="131"/>
      <c r="BH900" s="131"/>
      <c r="BI900" s="131"/>
      <c r="BJ900" s="131"/>
      <c r="BK900" s="131"/>
      <c r="BL900" s="131"/>
      <c r="BM900" s="131"/>
      <c r="BN900" s="131"/>
      <c r="BO900" s="131"/>
      <c r="BP900" s="131"/>
      <c r="BQ900" s="131"/>
      <c r="BR900" s="131"/>
      <c r="BS900" s="131"/>
      <c r="BT900" s="131"/>
      <c r="BU900" s="131"/>
      <c r="BV900" s="131"/>
      <c r="BW900" s="131"/>
      <c r="BX900" s="131"/>
      <c r="BY900" s="131"/>
      <c r="BZ900" s="131"/>
      <c r="CA900" s="131"/>
      <c r="CB900" s="131"/>
      <c r="CC900" s="131"/>
      <c r="CD900" s="131"/>
      <c r="CE900" s="131"/>
      <c r="CF900" s="131"/>
      <c r="CG900" s="131"/>
      <c r="CH900" s="131"/>
      <c r="CI900" s="131"/>
      <c r="CJ900" s="131"/>
      <c r="CK900" s="131"/>
      <c r="CL900" s="131"/>
      <c r="CM900" s="131"/>
      <c r="CN900" s="131"/>
      <c r="CO900" s="131"/>
      <c r="CP900" s="131"/>
      <c r="CQ900" s="131"/>
    </row>
    <row r="901" spans="1:95" ht="15" hidden="1" x14ac:dyDescent="0.25">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c r="AA901" s="131"/>
      <c r="AB901" s="131"/>
      <c r="AC901" s="131"/>
      <c r="AD901" s="131"/>
      <c r="AE901" s="131"/>
      <c r="AF901" s="131"/>
      <c r="AG901" s="131"/>
      <c r="AH901" s="131"/>
      <c r="AI901" s="131"/>
      <c r="AJ901" s="131"/>
      <c r="AK901" s="131"/>
      <c r="AL901" s="131"/>
      <c r="AM901" s="131"/>
      <c r="AN901" s="131"/>
      <c r="AO901" s="131"/>
      <c r="AP901" s="131"/>
      <c r="AQ901" s="131"/>
      <c r="AR901" s="131"/>
      <c r="AS901" s="131"/>
      <c r="AT901" s="131"/>
      <c r="AU901" s="131"/>
      <c r="AV901" s="131"/>
      <c r="AW901" s="131"/>
      <c r="AX901" s="131"/>
      <c r="AY901" s="131"/>
      <c r="AZ901" s="131"/>
      <c r="BA901" s="131"/>
      <c r="BB901" s="131"/>
      <c r="BC901" s="131"/>
      <c r="BD901" s="131"/>
      <c r="BE901" s="131"/>
      <c r="BF901" s="131"/>
      <c r="BG901" s="131"/>
      <c r="BH901" s="131"/>
      <c r="BI901" s="131"/>
      <c r="BJ901" s="131"/>
      <c r="BK901" s="131"/>
      <c r="BL901" s="131"/>
      <c r="BM901" s="131"/>
      <c r="BN901" s="131"/>
      <c r="BO901" s="131"/>
      <c r="BP901" s="131"/>
      <c r="BQ901" s="131"/>
      <c r="BR901" s="131"/>
      <c r="BS901" s="131"/>
      <c r="BT901" s="131"/>
      <c r="BU901" s="131"/>
      <c r="BV901" s="131"/>
      <c r="BW901" s="131"/>
      <c r="BX901" s="131"/>
      <c r="BY901" s="131"/>
      <c r="BZ901" s="131"/>
      <c r="CA901" s="131"/>
      <c r="CB901" s="131"/>
      <c r="CC901" s="131"/>
      <c r="CD901" s="131"/>
      <c r="CE901" s="131"/>
      <c r="CF901" s="131"/>
      <c r="CG901" s="131"/>
      <c r="CH901" s="131"/>
      <c r="CI901" s="131"/>
      <c r="CJ901" s="131"/>
      <c r="CK901" s="131"/>
      <c r="CL901" s="131"/>
      <c r="CM901" s="131"/>
      <c r="CN901" s="131"/>
      <c r="CO901" s="131"/>
      <c r="CP901" s="131"/>
      <c r="CQ901" s="131"/>
    </row>
    <row r="902" spans="1:95" ht="15" hidden="1" x14ac:dyDescent="0.25">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c r="AA902" s="131"/>
      <c r="AB902" s="131"/>
      <c r="AC902" s="131"/>
      <c r="AD902" s="131"/>
      <c r="AE902" s="131"/>
      <c r="AF902" s="131"/>
      <c r="AG902" s="131"/>
      <c r="AH902" s="131"/>
      <c r="AI902" s="131"/>
      <c r="AJ902" s="131"/>
      <c r="AK902" s="131"/>
      <c r="AL902" s="131"/>
      <c r="AM902" s="131"/>
      <c r="AN902" s="131"/>
      <c r="AO902" s="131"/>
      <c r="AP902" s="131"/>
      <c r="AQ902" s="131"/>
      <c r="AR902" s="131"/>
      <c r="AS902" s="131"/>
      <c r="AT902" s="131"/>
      <c r="AU902" s="131"/>
      <c r="AV902" s="131"/>
      <c r="AW902" s="131"/>
      <c r="AX902" s="131"/>
      <c r="AY902" s="131"/>
      <c r="AZ902" s="131"/>
      <c r="BA902" s="131"/>
      <c r="BB902" s="131"/>
      <c r="BC902" s="131"/>
      <c r="BD902" s="131"/>
      <c r="BE902" s="131"/>
      <c r="BF902" s="131"/>
      <c r="BG902" s="131"/>
      <c r="BH902" s="131"/>
      <c r="BI902" s="131"/>
      <c r="BJ902" s="131"/>
      <c r="BK902" s="131"/>
      <c r="BL902" s="131"/>
      <c r="BM902" s="131"/>
      <c r="BN902" s="131"/>
      <c r="BO902" s="131"/>
      <c r="BP902" s="131"/>
      <c r="BQ902" s="131"/>
      <c r="BR902" s="131"/>
      <c r="BS902" s="131"/>
      <c r="BT902" s="131"/>
      <c r="BU902" s="131"/>
      <c r="BV902" s="131"/>
      <c r="BW902" s="131"/>
      <c r="BX902" s="131"/>
      <c r="BY902" s="131"/>
      <c r="BZ902" s="131"/>
      <c r="CA902" s="131"/>
      <c r="CB902" s="131"/>
      <c r="CC902" s="131"/>
      <c r="CD902" s="131"/>
      <c r="CE902" s="131"/>
      <c r="CF902" s="131"/>
      <c r="CG902" s="131"/>
      <c r="CH902" s="131"/>
      <c r="CI902" s="131"/>
      <c r="CJ902" s="131"/>
      <c r="CK902" s="131"/>
      <c r="CL902" s="131"/>
      <c r="CM902" s="131"/>
      <c r="CN902" s="131"/>
      <c r="CO902" s="131"/>
      <c r="CP902" s="131"/>
      <c r="CQ902" s="131"/>
    </row>
    <row r="903" spans="1:95" ht="15" hidden="1" x14ac:dyDescent="0.25">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c r="AA903" s="131"/>
      <c r="AB903" s="131"/>
      <c r="AC903" s="131"/>
      <c r="AD903" s="131"/>
      <c r="AE903" s="131"/>
      <c r="AF903" s="131"/>
      <c r="AG903" s="131"/>
      <c r="AH903" s="131"/>
      <c r="AI903" s="131"/>
      <c r="AJ903" s="131"/>
      <c r="AK903" s="131"/>
      <c r="AL903" s="131"/>
      <c r="AM903" s="131"/>
      <c r="AN903" s="131"/>
      <c r="AO903" s="131"/>
      <c r="AP903" s="131"/>
      <c r="AQ903" s="131"/>
      <c r="AR903" s="131"/>
      <c r="AS903" s="131"/>
      <c r="AT903" s="131"/>
      <c r="AU903" s="131"/>
      <c r="AV903" s="131"/>
      <c r="AW903" s="131"/>
      <c r="AX903" s="131"/>
      <c r="AY903" s="131"/>
      <c r="AZ903" s="131"/>
      <c r="BA903" s="131"/>
      <c r="BB903" s="131"/>
      <c r="BC903" s="131"/>
      <c r="BD903" s="131"/>
      <c r="BE903" s="131"/>
      <c r="BF903" s="131"/>
      <c r="BG903" s="131"/>
      <c r="BH903" s="131"/>
      <c r="BI903" s="131"/>
      <c r="BJ903" s="131"/>
      <c r="BK903" s="131"/>
      <c r="BL903" s="131"/>
      <c r="BM903" s="131"/>
      <c r="BN903" s="131"/>
      <c r="BO903" s="131"/>
      <c r="BP903" s="131"/>
      <c r="BQ903" s="131"/>
      <c r="BR903" s="131"/>
      <c r="BS903" s="131"/>
      <c r="BT903" s="131"/>
      <c r="BU903" s="131"/>
      <c r="BV903" s="131"/>
      <c r="BW903" s="131"/>
      <c r="BX903" s="131"/>
      <c r="BY903" s="131"/>
      <c r="BZ903" s="131"/>
      <c r="CA903" s="131"/>
      <c r="CB903" s="131"/>
      <c r="CC903" s="131"/>
      <c r="CD903" s="131"/>
      <c r="CE903" s="131"/>
      <c r="CF903" s="131"/>
      <c r="CG903" s="131"/>
      <c r="CH903" s="131"/>
      <c r="CI903" s="131"/>
      <c r="CJ903" s="131"/>
      <c r="CK903" s="131"/>
      <c r="CL903" s="131"/>
      <c r="CM903" s="131"/>
      <c r="CN903" s="131"/>
      <c r="CO903" s="131"/>
      <c r="CP903" s="131"/>
      <c r="CQ903" s="131"/>
    </row>
    <row r="904" spans="1:95" ht="15" hidden="1" x14ac:dyDescent="0.25">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c r="AA904" s="131"/>
      <c r="AB904" s="131"/>
      <c r="AC904" s="131"/>
      <c r="AD904" s="131"/>
      <c r="AE904" s="131"/>
      <c r="AF904" s="131"/>
      <c r="AG904" s="131"/>
      <c r="AH904" s="131"/>
      <c r="AI904" s="131"/>
      <c r="AJ904" s="131"/>
      <c r="AK904" s="131"/>
      <c r="AL904" s="131"/>
      <c r="AM904" s="131"/>
      <c r="AN904" s="131"/>
      <c r="AO904" s="131"/>
      <c r="AP904" s="131"/>
      <c r="AQ904" s="131"/>
      <c r="AR904" s="131"/>
      <c r="AS904" s="131"/>
      <c r="AT904" s="131"/>
      <c r="AU904" s="131"/>
      <c r="AV904" s="131"/>
      <c r="AW904" s="131"/>
      <c r="AX904" s="131"/>
      <c r="AY904" s="131"/>
      <c r="AZ904" s="131"/>
      <c r="BA904" s="131"/>
      <c r="BB904" s="131"/>
      <c r="BC904" s="131"/>
      <c r="BD904" s="131"/>
      <c r="BE904" s="131"/>
      <c r="BF904" s="131"/>
      <c r="BG904" s="131"/>
      <c r="BH904" s="131"/>
      <c r="BI904" s="131"/>
      <c r="BJ904" s="131"/>
      <c r="BK904" s="131"/>
      <c r="BL904" s="131"/>
      <c r="BM904" s="131"/>
      <c r="BN904" s="131"/>
      <c r="BO904" s="131"/>
      <c r="BP904" s="131"/>
      <c r="BQ904" s="131"/>
      <c r="BR904" s="131"/>
      <c r="BS904" s="131"/>
      <c r="BT904" s="131"/>
      <c r="BU904" s="131"/>
      <c r="BV904" s="131"/>
      <c r="BW904" s="131"/>
      <c r="BX904" s="131"/>
      <c r="BY904" s="131"/>
      <c r="BZ904" s="131"/>
      <c r="CA904" s="131"/>
      <c r="CB904" s="131"/>
      <c r="CC904" s="131"/>
      <c r="CD904" s="131"/>
      <c r="CE904" s="131"/>
      <c r="CF904" s="131"/>
      <c r="CG904" s="131"/>
      <c r="CH904" s="131"/>
      <c r="CI904" s="131"/>
      <c r="CJ904" s="131"/>
      <c r="CK904" s="131"/>
      <c r="CL904" s="131"/>
      <c r="CM904" s="131"/>
      <c r="CN904" s="131"/>
      <c r="CO904" s="131"/>
      <c r="CP904" s="131"/>
      <c r="CQ904" s="131"/>
    </row>
    <row r="905" spans="1:95" ht="15" hidden="1" x14ac:dyDescent="0.25">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c r="AA905" s="131"/>
      <c r="AB905" s="131"/>
      <c r="AC905" s="131"/>
      <c r="AD905" s="131"/>
      <c r="AE905" s="131"/>
      <c r="AF905" s="131"/>
      <c r="AG905" s="131"/>
      <c r="AH905" s="131"/>
      <c r="AI905" s="131"/>
      <c r="AJ905" s="131"/>
      <c r="AK905" s="131"/>
      <c r="AL905" s="131"/>
      <c r="AM905" s="131"/>
      <c r="AN905" s="131"/>
      <c r="AO905" s="131"/>
      <c r="AP905" s="131"/>
      <c r="AQ905" s="131"/>
      <c r="AR905" s="131"/>
      <c r="AS905" s="131"/>
      <c r="AT905" s="131"/>
      <c r="AU905" s="131"/>
      <c r="AV905" s="131"/>
      <c r="AW905" s="131"/>
      <c r="AX905" s="131"/>
      <c r="AY905" s="131"/>
      <c r="AZ905" s="131"/>
      <c r="BA905" s="131"/>
      <c r="BB905" s="131"/>
      <c r="BC905" s="131"/>
      <c r="BD905" s="131"/>
      <c r="BE905" s="131"/>
      <c r="BF905" s="131"/>
      <c r="BG905" s="131"/>
      <c r="BH905" s="131"/>
      <c r="BI905" s="131"/>
      <c r="BJ905" s="131"/>
      <c r="BK905" s="131"/>
      <c r="BL905" s="131"/>
      <c r="BM905" s="131"/>
      <c r="BN905" s="131"/>
      <c r="BO905" s="131"/>
      <c r="BP905" s="131"/>
      <c r="BQ905" s="131"/>
      <c r="BR905" s="131"/>
      <c r="BS905" s="131"/>
      <c r="BT905" s="131"/>
      <c r="BU905" s="131"/>
      <c r="BV905" s="131"/>
      <c r="BW905" s="131"/>
      <c r="BX905" s="131"/>
      <c r="BY905" s="131"/>
      <c r="BZ905" s="131"/>
      <c r="CA905" s="131"/>
      <c r="CB905" s="131"/>
      <c r="CC905" s="131"/>
      <c r="CD905" s="131"/>
      <c r="CE905" s="131"/>
      <c r="CF905" s="131"/>
      <c r="CG905" s="131"/>
      <c r="CH905" s="131"/>
      <c r="CI905" s="131"/>
      <c r="CJ905" s="131"/>
      <c r="CK905" s="131"/>
      <c r="CL905" s="131"/>
      <c r="CM905" s="131"/>
      <c r="CN905" s="131"/>
      <c r="CO905" s="131"/>
      <c r="CP905" s="131"/>
      <c r="CQ905" s="131"/>
    </row>
    <row r="906" spans="1:95" ht="15" hidden="1" x14ac:dyDescent="0.25">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c r="AA906" s="131"/>
      <c r="AB906" s="131"/>
      <c r="AC906" s="131"/>
      <c r="AD906" s="131"/>
      <c r="AE906" s="131"/>
      <c r="AF906" s="131"/>
      <c r="AG906" s="131"/>
      <c r="AH906" s="131"/>
      <c r="AI906" s="131"/>
      <c r="AJ906" s="131"/>
      <c r="AK906" s="131"/>
      <c r="AL906" s="131"/>
      <c r="AM906" s="131"/>
      <c r="AN906" s="131"/>
      <c r="AO906" s="131"/>
      <c r="AP906" s="131"/>
      <c r="AQ906" s="131"/>
      <c r="AR906" s="131"/>
      <c r="AS906" s="131"/>
      <c r="AT906" s="131"/>
      <c r="AU906" s="131"/>
      <c r="AV906" s="131"/>
      <c r="AW906" s="131"/>
      <c r="AX906" s="131"/>
      <c r="AY906" s="131"/>
      <c r="AZ906" s="131"/>
      <c r="BA906" s="131"/>
      <c r="BB906" s="131"/>
      <c r="BC906" s="131"/>
      <c r="BD906" s="131"/>
      <c r="BE906" s="131"/>
      <c r="BF906" s="131"/>
      <c r="BG906" s="131"/>
      <c r="BH906" s="131"/>
      <c r="BI906" s="131"/>
      <c r="BJ906" s="131"/>
      <c r="BK906" s="131"/>
      <c r="BL906" s="131"/>
      <c r="BM906" s="131"/>
      <c r="BN906" s="131"/>
      <c r="BO906" s="131"/>
      <c r="BP906" s="131"/>
      <c r="BQ906" s="131"/>
      <c r="BR906" s="131"/>
      <c r="BS906" s="131"/>
      <c r="BT906" s="131"/>
      <c r="BU906" s="131"/>
      <c r="BV906" s="131"/>
      <c r="BW906" s="131"/>
      <c r="BX906" s="131"/>
      <c r="BY906" s="131"/>
      <c r="BZ906" s="131"/>
      <c r="CA906" s="131"/>
      <c r="CB906" s="131"/>
      <c r="CC906" s="131"/>
      <c r="CD906" s="131"/>
      <c r="CE906" s="131"/>
      <c r="CF906" s="131"/>
      <c r="CG906" s="131"/>
      <c r="CH906" s="131"/>
      <c r="CI906" s="131"/>
      <c r="CJ906" s="131"/>
      <c r="CK906" s="131"/>
      <c r="CL906" s="131"/>
      <c r="CM906" s="131"/>
      <c r="CN906" s="131"/>
      <c r="CO906" s="131"/>
      <c r="CP906" s="131"/>
      <c r="CQ906" s="131"/>
    </row>
    <row r="907" spans="1:95" ht="15" hidden="1" x14ac:dyDescent="0.25">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c r="AC907" s="131"/>
      <c r="AD907" s="131"/>
      <c r="AE907" s="131"/>
      <c r="AF907" s="131"/>
      <c r="AG907" s="131"/>
      <c r="AH907" s="131"/>
      <c r="AI907" s="131"/>
      <c r="AJ907" s="131"/>
      <c r="AK907" s="131"/>
      <c r="AL907" s="131"/>
      <c r="AM907" s="131"/>
      <c r="AN907" s="131"/>
      <c r="AO907" s="131"/>
      <c r="AP907" s="131"/>
      <c r="AQ907" s="131"/>
      <c r="AR907" s="131"/>
      <c r="AS907" s="131"/>
      <c r="AT907" s="131"/>
      <c r="AU907" s="131"/>
      <c r="AV907" s="131"/>
      <c r="AW907" s="131"/>
      <c r="AX907" s="131"/>
      <c r="AY907" s="131"/>
      <c r="AZ907" s="131"/>
      <c r="BA907" s="131"/>
      <c r="BB907" s="131"/>
      <c r="BC907" s="131"/>
      <c r="BD907" s="131"/>
      <c r="BE907" s="131"/>
      <c r="BF907" s="131"/>
      <c r="BG907" s="131"/>
      <c r="BH907" s="131"/>
      <c r="BI907" s="131"/>
      <c r="BJ907" s="131"/>
      <c r="BK907" s="131"/>
      <c r="BL907" s="131"/>
      <c r="BM907" s="131"/>
      <c r="BN907" s="131"/>
      <c r="BO907" s="131"/>
      <c r="BP907" s="131"/>
      <c r="BQ907" s="131"/>
      <c r="BR907" s="131"/>
      <c r="BS907" s="131"/>
      <c r="BT907" s="131"/>
      <c r="BU907" s="131"/>
      <c r="BV907" s="131"/>
      <c r="BW907" s="131"/>
      <c r="BX907" s="131"/>
      <c r="BY907" s="131"/>
      <c r="BZ907" s="131"/>
      <c r="CA907" s="131"/>
      <c r="CB907" s="131"/>
      <c r="CC907" s="131"/>
      <c r="CD907" s="131"/>
      <c r="CE907" s="131"/>
      <c r="CF907" s="131"/>
      <c r="CG907" s="131"/>
      <c r="CH907" s="131"/>
      <c r="CI907" s="131"/>
      <c r="CJ907" s="131"/>
      <c r="CK907" s="131"/>
      <c r="CL907" s="131"/>
      <c r="CM907" s="131"/>
      <c r="CN907" s="131"/>
      <c r="CO907" s="131"/>
      <c r="CP907" s="131"/>
      <c r="CQ907" s="131"/>
    </row>
    <row r="908" spans="1:95" ht="15" hidden="1" x14ac:dyDescent="0.25">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c r="AA908" s="131"/>
      <c r="AB908" s="131"/>
      <c r="AC908" s="131"/>
      <c r="AD908" s="131"/>
      <c r="AE908" s="131"/>
      <c r="AF908" s="131"/>
      <c r="AG908" s="131"/>
      <c r="AH908" s="131"/>
      <c r="AI908" s="131"/>
      <c r="AJ908" s="131"/>
      <c r="AK908" s="131"/>
      <c r="AL908" s="131"/>
      <c r="AM908" s="131"/>
      <c r="AN908" s="131"/>
      <c r="AO908" s="131"/>
      <c r="AP908" s="131"/>
      <c r="AQ908" s="131"/>
      <c r="AR908" s="131"/>
      <c r="AS908" s="131"/>
      <c r="AT908" s="131"/>
      <c r="AU908" s="131"/>
      <c r="AV908" s="131"/>
      <c r="AW908" s="131"/>
      <c r="AX908" s="131"/>
      <c r="AY908" s="131"/>
      <c r="AZ908" s="131"/>
      <c r="BA908" s="131"/>
      <c r="BB908" s="131"/>
      <c r="BC908" s="131"/>
      <c r="BD908" s="131"/>
      <c r="BE908" s="131"/>
      <c r="BF908" s="131"/>
      <c r="BG908" s="131"/>
      <c r="BH908" s="131"/>
      <c r="BI908" s="131"/>
      <c r="BJ908" s="131"/>
      <c r="BK908" s="131"/>
      <c r="BL908" s="131"/>
      <c r="BM908" s="131"/>
      <c r="BN908" s="131"/>
      <c r="BO908" s="131"/>
      <c r="BP908" s="131"/>
      <c r="BQ908" s="131"/>
      <c r="BR908" s="131"/>
      <c r="BS908" s="131"/>
      <c r="BT908" s="131"/>
      <c r="BU908" s="131"/>
      <c r="BV908" s="131"/>
      <c r="BW908" s="131"/>
      <c r="BX908" s="131"/>
      <c r="BY908" s="131"/>
      <c r="BZ908" s="131"/>
      <c r="CA908" s="131"/>
      <c r="CB908" s="131"/>
      <c r="CC908" s="131"/>
      <c r="CD908" s="131"/>
      <c r="CE908" s="131"/>
      <c r="CF908" s="131"/>
      <c r="CG908" s="131"/>
      <c r="CH908" s="131"/>
      <c r="CI908" s="131"/>
      <c r="CJ908" s="131"/>
      <c r="CK908" s="131"/>
      <c r="CL908" s="131"/>
      <c r="CM908" s="131"/>
      <c r="CN908" s="131"/>
      <c r="CO908" s="131"/>
      <c r="CP908" s="131"/>
      <c r="CQ908" s="131"/>
    </row>
    <row r="909" spans="1:95" ht="15" hidden="1" x14ac:dyDescent="0.25">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c r="AA909" s="131"/>
      <c r="AB909" s="131"/>
      <c r="AC909" s="131"/>
      <c r="AD909" s="131"/>
      <c r="AE909" s="131"/>
      <c r="AF909" s="131"/>
      <c r="AG909" s="131"/>
      <c r="AH909" s="131"/>
      <c r="AI909" s="131"/>
      <c r="AJ909" s="131"/>
      <c r="AK909" s="131"/>
      <c r="AL909" s="131"/>
      <c r="AM909" s="131"/>
      <c r="AN909" s="131"/>
      <c r="AO909" s="131"/>
      <c r="AP909" s="131"/>
      <c r="AQ909" s="131"/>
      <c r="AR909" s="131"/>
      <c r="AS909" s="131"/>
      <c r="AT909" s="131"/>
      <c r="AU909" s="131"/>
      <c r="AV909" s="131"/>
      <c r="AW909" s="131"/>
      <c r="AX909" s="131"/>
      <c r="AY909" s="131"/>
      <c r="AZ909" s="131"/>
      <c r="BA909" s="131"/>
      <c r="BB909" s="131"/>
      <c r="BC909" s="131"/>
      <c r="BD909" s="131"/>
      <c r="BE909" s="131"/>
      <c r="BF909" s="131"/>
      <c r="BG909" s="131"/>
      <c r="BH909" s="131"/>
      <c r="BI909" s="131"/>
      <c r="BJ909" s="131"/>
      <c r="BK909" s="131"/>
      <c r="BL909" s="131"/>
      <c r="BM909" s="131"/>
      <c r="BN909" s="131"/>
      <c r="BO909" s="131"/>
      <c r="BP909" s="131"/>
      <c r="BQ909" s="131"/>
      <c r="BR909" s="131"/>
      <c r="BS909" s="131"/>
      <c r="BT909" s="131"/>
      <c r="BU909" s="131"/>
      <c r="BV909" s="131"/>
      <c r="BW909" s="131"/>
      <c r="BX909" s="131"/>
      <c r="BY909" s="131"/>
      <c r="BZ909" s="131"/>
      <c r="CA909" s="131"/>
      <c r="CB909" s="131"/>
      <c r="CC909" s="131"/>
      <c r="CD909" s="131"/>
      <c r="CE909" s="131"/>
      <c r="CF909" s="131"/>
      <c r="CG909" s="131"/>
      <c r="CH909" s="131"/>
      <c r="CI909" s="131"/>
      <c r="CJ909" s="131"/>
      <c r="CK909" s="131"/>
      <c r="CL909" s="131"/>
      <c r="CM909" s="131"/>
      <c r="CN909" s="131"/>
      <c r="CO909" s="131"/>
      <c r="CP909" s="131"/>
      <c r="CQ909" s="131"/>
    </row>
    <row r="910" spans="1:95" ht="15" hidden="1" x14ac:dyDescent="0.25">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c r="AA910" s="131"/>
      <c r="AB910" s="131"/>
      <c r="AC910" s="131"/>
      <c r="AD910" s="131"/>
      <c r="AE910" s="131"/>
      <c r="AF910" s="131"/>
      <c r="AG910" s="131"/>
      <c r="AH910" s="131"/>
      <c r="AI910" s="131"/>
      <c r="AJ910" s="131"/>
      <c r="AK910" s="131"/>
      <c r="AL910" s="131"/>
      <c r="AM910" s="131"/>
      <c r="AN910" s="131"/>
      <c r="AO910" s="131"/>
      <c r="AP910" s="131"/>
      <c r="AQ910" s="131"/>
      <c r="AR910" s="131"/>
      <c r="AS910" s="131"/>
      <c r="AT910" s="131"/>
      <c r="AU910" s="131"/>
      <c r="AV910" s="131"/>
      <c r="AW910" s="131"/>
      <c r="AX910" s="131"/>
      <c r="AY910" s="131"/>
      <c r="AZ910" s="131"/>
      <c r="BA910" s="131"/>
      <c r="BB910" s="131"/>
      <c r="BC910" s="131"/>
      <c r="BD910" s="131"/>
      <c r="BE910" s="131"/>
      <c r="BF910" s="131"/>
      <c r="BG910" s="131"/>
      <c r="BH910" s="131"/>
      <c r="BI910" s="131"/>
      <c r="BJ910" s="131"/>
      <c r="BK910" s="131"/>
      <c r="BL910" s="131"/>
      <c r="BM910" s="131"/>
      <c r="BN910" s="131"/>
      <c r="BO910" s="131"/>
      <c r="BP910" s="131"/>
      <c r="BQ910" s="131"/>
      <c r="BR910" s="131"/>
      <c r="BS910" s="131"/>
      <c r="BT910" s="131"/>
      <c r="BU910" s="131"/>
      <c r="BV910" s="131"/>
      <c r="BW910" s="131"/>
      <c r="BX910" s="131"/>
      <c r="BY910" s="131"/>
      <c r="BZ910" s="131"/>
      <c r="CA910" s="131"/>
      <c r="CB910" s="131"/>
      <c r="CC910" s="131"/>
      <c r="CD910" s="131"/>
      <c r="CE910" s="131"/>
      <c r="CF910" s="131"/>
      <c r="CG910" s="131"/>
      <c r="CH910" s="131"/>
      <c r="CI910" s="131"/>
      <c r="CJ910" s="131"/>
      <c r="CK910" s="131"/>
      <c r="CL910" s="131"/>
      <c r="CM910" s="131"/>
      <c r="CN910" s="131"/>
      <c r="CO910" s="131"/>
      <c r="CP910" s="131"/>
      <c r="CQ910" s="131"/>
    </row>
    <row r="911" spans="1:95" ht="15" hidden="1" x14ac:dyDescent="0.25">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c r="AA911" s="131"/>
      <c r="AB911" s="131"/>
      <c r="AC911" s="131"/>
      <c r="AD911" s="131"/>
      <c r="AE911" s="131"/>
      <c r="AF911" s="131"/>
      <c r="AG911" s="131"/>
      <c r="AH911" s="131"/>
      <c r="AI911" s="131"/>
      <c r="AJ911" s="131"/>
      <c r="AK911" s="131"/>
      <c r="AL911" s="131"/>
      <c r="AM911" s="131"/>
      <c r="AN911" s="131"/>
      <c r="AO911" s="131"/>
      <c r="AP911" s="131"/>
      <c r="AQ911" s="131"/>
      <c r="AR911" s="131"/>
      <c r="AS911" s="131"/>
      <c r="AT911" s="131"/>
      <c r="AU911" s="131"/>
      <c r="AV911" s="131"/>
      <c r="AW911" s="131"/>
      <c r="AX911" s="131"/>
      <c r="AY911" s="131"/>
      <c r="AZ911" s="131"/>
      <c r="BA911" s="131"/>
      <c r="BB911" s="131"/>
      <c r="BC911" s="131"/>
      <c r="BD911" s="131"/>
      <c r="BE911" s="131"/>
      <c r="BF911" s="131"/>
      <c r="BG911" s="131"/>
      <c r="BH911" s="131"/>
      <c r="BI911" s="131"/>
      <c r="BJ911" s="131"/>
      <c r="BK911" s="131"/>
      <c r="BL911" s="131"/>
      <c r="BM911" s="131"/>
      <c r="BN911" s="131"/>
      <c r="BO911" s="131"/>
      <c r="BP911" s="131"/>
      <c r="BQ911" s="131"/>
      <c r="BR911" s="131"/>
      <c r="BS911" s="131"/>
      <c r="BT911" s="131"/>
      <c r="BU911" s="131"/>
      <c r="BV911" s="131"/>
      <c r="BW911" s="131"/>
      <c r="BX911" s="131"/>
      <c r="BY911" s="131"/>
      <c r="BZ911" s="131"/>
      <c r="CA911" s="131"/>
      <c r="CB911" s="131"/>
      <c r="CC911" s="131"/>
      <c r="CD911" s="131"/>
      <c r="CE911" s="131"/>
      <c r="CF911" s="131"/>
      <c r="CG911" s="131"/>
      <c r="CH911" s="131"/>
      <c r="CI911" s="131"/>
      <c r="CJ911" s="131"/>
      <c r="CK911" s="131"/>
      <c r="CL911" s="131"/>
      <c r="CM911" s="131"/>
      <c r="CN911" s="131"/>
      <c r="CO911" s="131"/>
      <c r="CP911" s="131"/>
      <c r="CQ911" s="131"/>
    </row>
    <row r="912" spans="1:95" ht="15" hidden="1" x14ac:dyDescent="0.25">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c r="AA912" s="131"/>
      <c r="AB912" s="131"/>
      <c r="AC912" s="131"/>
      <c r="AD912" s="131"/>
      <c r="AE912" s="131"/>
      <c r="AF912" s="131"/>
      <c r="AG912" s="131"/>
      <c r="AH912" s="131"/>
      <c r="AI912" s="131"/>
      <c r="AJ912" s="131"/>
      <c r="AK912" s="131"/>
      <c r="AL912" s="131"/>
      <c r="AM912" s="131"/>
      <c r="AN912" s="131"/>
      <c r="AO912" s="131"/>
      <c r="AP912" s="131"/>
      <c r="AQ912" s="131"/>
      <c r="AR912" s="131"/>
      <c r="AS912" s="131"/>
      <c r="AT912" s="131"/>
      <c r="AU912" s="131"/>
      <c r="AV912" s="131"/>
      <c r="AW912" s="131"/>
      <c r="AX912" s="131"/>
      <c r="AY912" s="131"/>
      <c r="AZ912" s="131"/>
      <c r="BA912" s="131"/>
      <c r="BB912" s="131"/>
      <c r="BC912" s="131"/>
      <c r="BD912" s="131"/>
      <c r="BE912" s="131"/>
      <c r="BF912" s="131"/>
      <c r="BG912" s="131"/>
      <c r="BH912" s="131"/>
      <c r="BI912" s="131"/>
      <c r="BJ912" s="131"/>
      <c r="BK912" s="131"/>
      <c r="BL912" s="131"/>
      <c r="BM912" s="131"/>
      <c r="BN912" s="131"/>
      <c r="BO912" s="131"/>
      <c r="BP912" s="131"/>
      <c r="BQ912" s="131"/>
      <c r="BR912" s="131"/>
      <c r="BS912" s="131"/>
      <c r="BT912" s="131"/>
      <c r="BU912" s="131"/>
      <c r="BV912" s="131"/>
      <c r="BW912" s="131"/>
      <c r="BX912" s="131"/>
      <c r="BY912" s="131"/>
      <c r="BZ912" s="131"/>
      <c r="CA912" s="131"/>
      <c r="CB912" s="131"/>
      <c r="CC912" s="131"/>
      <c r="CD912" s="131"/>
      <c r="CE912" s="131"/>
      <c r="CF912" s="131"/>
      <c r="CG912" s="131"/>
      <c r="CH912" s="131"/>
      <c r="CI912" s="131"/>
      <c r="CJ912" s="131"/>
      <c r="CK912" s="131"/>
      <c r="CL912" s="131"/>
      <c r="CM912" s="131"/>
      <c r="CN912" s="131"/>
      <c r="CO912" s="131"/>
      <c r="CP912" s="131"/>
      <c r="CQ912" s="131"/>
    </row>
    <row r="913" spans="1:95" ht="15" hidden="1" x14ac:dyDescent="0.25">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c r="AA913" s="131"/>
      <c r="AB913" s="131"/>
      <c r="AC913" s="131"/>
      <c r="AD913" s="131"/>
      <c r="AE913" s="131"/>
      <c r="AF913" s="131"/>
      <c r="AG913" s="131"/>
      <c r="AH913" s="131"/>
      <c r="AI913" s="131"/>
      <c r="AJ913" s="131"/>
      <c r="AK913" s="131"/>
      <c r="AL913" s="131"/>
      <c r="AM913" s="131"/>
      <c r="AN913" s="131"/>
      <c r="AO913" s="131"/>
      <c r="AP913" s="131"/>
      <c r="AQ913" s="131"/>
      <c r="AR913" s="131"/>
      <c r="AS913" s="131"/>
      <c r="AT913" s="131"/>
      <c r="AU913" s="131"/>
      <c r="AV913" s="131"/>
      <c r="AW913" s="131"/>
      <c r="AX913" s="131"/>
      <c r="AY913" s="131"/>
      <c r="AZ913" s="131"/>
      <c r="BA913" s="131"/>
      <c r="BB913" s="131"/>
      <c r="BC913" s="131"/>
      <c r="BD913" s="131"/>
      <c r="BE913" s="131"/>
      <c r="BF913" s="131"/>
      <c r="BG913" s="131"/>
      <c r="BH913" s="131"/>
      <c r="BI913" s="131"/>
      <c r="BJ913" s="131"/>
      <c r="BK913" s="131"/>
      <c r="BL913" s="131"/>
      <c r="BM913" s="131"/>
      <c r="BN913" s="131"/>
      <c r="BO913" s="131"/>
      <c r="BP913" s="131"/>
      <c r="BQ913" s="131"/>
      <c r="BR913" s="131"/>
      <c r="BS913" s="131"/>
      <c r="BT913" s="131"/>
      <c r="BU913" s="131"/>
      <c r="BV913" s="131"/>
      <c r="BW913" s="131"/>
      <c r="BX913" s="131"/>
      <c r="BY913" s="131"/>
      <c r="BZ913" s="131"/>
      <c r="CA913" s="131"/>
      <c r="CB913" s="131"/>
      <c r="CC913" s="131"/>
      <c r="CD913" s="131"/>
      <c r="CE913" s="131"/>
      <c r="CF913" s="131"/>
      <c r="CG913" s="131"/>
      <c r="CH913" s="131"/>
      <c r="CI913" s="131"/>
      <c r="CJ913" s="131"/>
      <c r="CK913" s="131"/>
      <c r="CL913" s="131"/>
      <c r="CM913" s="131"/>
      <c r="CN913" s="131"/>
      <c r="CO913" s="131"/>
      <c r="CP913" s="131"/>
      <c r="CQ913" s="131"/>
    </row>
    <row r="914" spans="1:95" ht="15" hidden="1" x14ac:dyDescent="0.25">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c r="AA914" s="131"/>
      <c r="AB914" s="131"/>
      <c r="AC914" s="131"/>
      <c r="AD914" s="131"/>
      <c r="AE914" s="131"/>
      <c r="AF914" s="131"/>
      <c r="AG914" s="131"/>
      <c r="AH914" s="131"/>
      <c r="AI914" s="131"/>
      <c r="AJ914" s="131"/>
      <c r="AK914" s="131"/>
      <c r="AL914" s="131"/>
      <c r="AM914" s="131"/>
      <c r="AN914" s="131"/>
      <c r="AO914" s="131"/>
      <c r="AP914" s="131"/>
      <c r="AQ914" s="131"/>
      <c r="AR914" s="131"/>
      <c r="AS914" s="131"/>
      <c r="AT914" s="131"/>
      <c r="AU914" s="131"/>
      <c r="AV914" s="131"/>
      <c r="AW914" s="131"/>
      <c r="AX914" s="131"/>
      <c r="AY914" s="131"/>
      <c r="AZ914" s="131"/>
      <c r="BA914" s="131"/>
      <c r="BB914" s="131"/>
      <c r="BC914" s="131"/>
      <c r="BD914" s="131"/>
      <c r="BE914" s="131"/>
      <c r="BF914" s="131"/>
      <c r="BG914" s="131"/>
      <c r="BH914" s="131"/>
      <c r="BI914" s="131"/>
      <c r="BJ914" s="131"/>
      <c r="BK914" s="131"/>
      <c r="BL914" s="131"/>
      <c r="BM914" s="131"/>
      <c r="BN914" s="131"/>
      <c r="BO914" s="131"/>
      <c r="BP914" s="131"/>
      <c r="BQ914" s="131"/>
      <c r="BR914" s="131"/>
      <c r="BS914" s="131"/>
      <c r="BT914" s="131"/>
      <c r="BU914" s="131"/>
      <c r="BV914" s="131"/>
      <c r="BW914" s="131"/>
      <c r="BX914" s="131"/>
      <c r="BY914" s="131"/>
      <c r="BZ914" s="131"/>
      <c r="CA914" s="131"/>
      <c r="CB914" s="131"/>
      <c r="CC914" s="131"/>
      <c r="CD914" s="131"/>
      <c r="CE914" s="131"/>
      <c r="CF914" s="131"/>
      <c r="CG914" s="131"/>
      <c r="CH914" s="131"/>
      <c r="CI914" s="131"/>
      <c r="CJ914" s="131"/>
      <c r="CK914" s="131"/>
      <c r="CL914" s="131"/>
      <c r="CM914" s="131"/>
      <c r="CN914" s="131"/>
      <c r="CO914" s="131"/>
      <c r="CP914" s="131"/>
      <c r="CQ914" s="131"/>
    </row>
    <row r="915" spans="1:95" ht="15" hidden="1" x14ac:dyDescent="0.25">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c r="AA915" s="131"/>
      <c r="AB915" s="131"/>
      <c r="AC915" s="131"/>
      <c r="AD915" s="131"/>
      <c r="AE915" s="131"/>
      <c r="AF915" s="131"/>
      <c r="AG915" s="131"/>
      <c r="AH915" s="131"/>
      <c r="AI915" s="131"/>
      <c r="AJ915" s="131"/>
      <c r="AK915" s="131"/>
      <c r="AL915" s="131"/>
      <c r="AM915" s="131"/>
      <c r="AN915" s="131"/>
      <c r="AO915" s="131"/>
      <c r="AP915" s="131"/>
      <c r="AQ915" s="131"/>
      <c r="AR915" s="131"/>
      <c r="AS915" s="131"/>
      <c r="AT915" s="131"/>
      <c r="AU915" s="131"/>
      <c r="AV915" s="131"/>
      <c r="AW915" s="131"/>
      <c r="AX915" s="131"/>
      <c r="AY915" s="131"/>
      <c r="AZ915" s="131"/>
      <c r="BA915" s="131"/>
      <c r="BB915" s="131"/>
      <c r="BC915" s="131"/>
      <c r="BD915" s="131"/>
      <c r="BE915" s="131"/>
      <c r="BF915" s="131"/>
      <c r="BG915" s="131"/>
      <c r="BH915" s="131"/>
      <c r="BI915" s="131"/>
      <c r="BJ915" s="131"/>
      <c r="BK915" s="131"/>
      <c r="BL915" s="131"/>
      <c r="BM915" s="131"/>
      <c r="BN915" s="131"/>
      <c r="BO915" s="131"/>
      <c r="BP915" s="131"/>
      <c r="BQ915" s="131"/>
      <c r="BR915" s="131"/>
      <c r="BS915" s="131"/>
      <c r="BT915" s="131"/>
      <c r="BU915" s="131"/>
      <c r="BV915" s="131"/>
      <c r="BW915" s="131"/>
      <c r="BX915" s="131"/>
      <c r="BY915" s="131"/>
      <c r="BZ915" s="131"/>
      <c r="CA915" s="131"/>
      <c r="CB915" s="131"/>
      <c r="CC915" s="131"/>
      <c r="CD915" s="131"/>
      <c r="CE915" s="131"/>
      <c r="CF915" s="131"/>
      <c r="CG915" s="131"/>
      <c r="CH915" s="131"/>
      <c r="CI915" s="131"/>
      <c r="CJ915" s="131"/>
      <c r="CK915" s="131"/>
      <c r="CL915" s="131"/>
      <c r="CM915" s="131"/>
      <c r="CN915" s="131"/>
      <c r="CO915" s="131"/>
      <c r="CP915" s="131"/>
      <c r="CQ915" s="131"/>
    </row>
    <row r="916" spans="1:95" ht="15" hidden="1" x14ac:dyDescent="0.25">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c r="AA916" s="131"/>
      <c r="AB916" s="131"/>
      <c r="AC916" s="131"/>
      <c r="AD916" s="131"/>
      <c r="AE916" s="131"/>
      <c r="AF916" s="131"/>
      <c r="AG916" s="131"/>
      <c r="AH916" s="131"/>
      <c r="AI916" s="131"/>
      <c r="AJ916" s="131"/>
      <c r="AK916" s="131"/>
      <c r="AL916" s="131"/>
      <c r="AM916" s="131"/>
      <c r="AN916" s="131"/>
      <c r="AO916" s="131"/>
      <c r="AP916" s="131"/>
      <c r="AQ916" s="131"/>
      <c r="AR916" s="131"/>
      <c r="AS916" s="131"/>
      <c r="AT916" s="131"/>
      <c r="AU916" s="131"/>
      <c r="AV916" s="131"/>
      <c r="AW916" s="131"/>
      <c r="AX916" s="131"/>
      <c r="AY916" s="131"/>
      <c r="AZ916" s="131"/>
      <c r="BA916" s="131"/>
      <c r="BB916" s="131"/>
      <c r="BC916" s="131"/>
      <c r="BD916" s="131"/>
      <c r="BE916" s="131"/>
      <c r="BF916" s="131"/>
      <c r="BG916" s="131"/>
      <c r="BH916" s="131"/>
      <c r="BI916" s="131"/>
      <c r="BJ916" s="131"/>
      <c r="BK916" s="131"/>
      <c r="BL916" s="131"/>
      <c r="BM916" s="131"/>
      <c r="BN916" s="131"/>
      <c r="BO916" s="131"/>
      <c r="BP916" s="131"/>
      <c r="BQ916" s="131"/>
      <c r="BR916" s="131"/>
      <c r="BS916" s="131"/>
      <c r="BT916" s="131"/>
      <c r="BU916" s="131"/>
      <c r="BV916" s="131"/>
      <c r="BW916" s="131"/>
      <c r="BX916" s="131"/>
      <c r="BY916" s="131"/>
      <c r="BZ916" s="131"/>
      <c r="CA916" s="131"/>
      <c r="CB916" s="131"/>
      <c r="CC916" s="131"/>
      <c r="CD916" s="131"/>
      <c r="CE916" s="131"/>
      <c r="CF916" s="131"/>
      <c r="CG916" s="131"/>
      <c r="CH916" s="131"/>
      <c r="CI916" s="131"/>
      <c r="CJ916" s="131"/>
      <c r="CK916" s="131"/>
      <c r="CL916" s="131"/>
      <c r="CM916" s="131"/>
      <c r="CN916" s="131"/>
      <c r="CO916" s="131"/>
      <c r="CP916" s="131"/>
      <c r="CQ916" s="131"/>
    </row>
    <row r="917" spans="1:95" ht="15" hidden="1" x14ac:dyDescent="0.25">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c r="AA917" s="131"/>
      <c r="AB917" s="131"/>
      <c r="AC917" s="131"/>
      <c r="AD917" s="131"/>
      <c r="AE917" s="131"/>
      <c r="AF917" s="131"/>
      <c r="AG917" s="131"/>
      <c r="AH917" s="131"/>
      <c r="AI917" s="131"/>
      <c r="AJ917" s="131"/>
      <c r="AK917" s="131"/>
      <c r="AL917" s="131"/>
      <c r="AM917" s="131"/>
      <c r="AN917" s="131"/>
      <c r="AO917" s="131"/>
      <c r="AP917" s="131"/>
      <c r="AQ917" s="131"/>
      <c r="AR917" s="131"/>
      <c r="AS917" s="131"/>
      <c r="AT917" s="131"/>
      <c r="AU917" s="131"/>
      <c r="AV917" s="131"/>
      <c r="AW917" s="131"/>
      <c r="AX917" s="131"/>
      <c r="AY917" s="131"/>
      <c r="AZ917" s="131"/>
      <c r="BA917" s="131"/>
      <c r="BB917" s="131"/>
      <c r="BC917" s="131"/>
      <c r="BD917" s="131"/>
      <c r="BE917" s="131"/>
      <c r="BF917" s="131"/>
      <c r="BG917" s="131"/>
      <c r="BH917" s="131"/>
      <c r="BI917" s="131"/>
      <c r="BJ917" s="131"/>
      <c r="BK917" s="131"/>
      <c r="BL917" s="131"/>
      <c r="BM917" s="131"/>
      <c r="BN917" s="131"/>
      <c r="BO917" s="131"/>
      <c r="BP917" s="131"/>
      <c r="BQ917" s="131"/>
      <c r="BR917" s="131"/>
      <c r="BS917" s="131"/>
      <c r="BT917" s="131"/>
      <c r="BU917" s="131"/>
      <c r="BV917" s="131"/>
      <c r="BW917" s="131"/>
      <c r="BX917" s="131"/>
      <c r="BY917" s="131"/>
      <c r="BZ917" s="131"/>
      <c r="CA917" s="131"/>
      <c r="CB917" s="131"/>
      <c r="CC917" s="131"/>
      <c r="CD917" s="131"/>
      <c r="CE917" s="131"/>
      <c r="CF917" s="131"/>
      <c r="CG917" s="131"/>
      <c r="CH917" s="131"/>
      <c r="CI917" s="131"/>
      <c r="CJ917" s="131"/>
      <c r="CK917" s="131"/>
      <c r="CL917" s="131"/>
      <c r="CM917" s="131"/>
      <c r="CN917" s="131"/>
      <c r="CO917" s="131"/>
      <c r="CP917" s="131"/>
      <c r="CQ917" s="131"/>
    </row>
    <row r="918" spans="1:95" ht="15" hidden="1" x14ac:dyDescent="0.25">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c r="AA918" s="131"/>
      <c r="AB918" s="131"/>
      <c r="AC918" s="131"/>
      <c r="AD918" s="131"/>
      <c r="AE918" s="131"/>
      <c r="AF918" s="131"/>
      <c r="AG918" s="131"/>
      <c r="AH918" s="131"/>
      <c r="AI918" s="131"/>
      <c r="AJ918" s="131"/>
      <c r="AK918" s="131"/>
      <c r="AL918" s="131"/>
      <c r="AM918" s="131"/>
      <c r="AN918" s="131"/>
      <c r="AO918" s="131"/>
      <c r="AP918" s="131"/>
      <c r="AQ918" s="131"/>
      <c r="AR918" s="131"/>
      <c r="AS918" s="131"/>
      <c r="AT918" s="131"/>
      <c r="AU918" s="131"/>
      <c r="AV918" s="131"/>
      <c r="AW918" s="131"/>
      <c r="AX918" s="131"/>
      <c r="AY918" s="131"/>
      <c r="AZ918" s="131"/>
      <c r="BA918" s="131"/>
      <c r="BB918" s="131"/>
      <c r="BC918" s="131"/>
      <c r="BD918" s="131"/>
      <c r="BE918" s="131"/>
      <c r="BF918" s="131"/>
      <c r="BG918" s="131"/>
      <c r="BH918" s="131"/>
      <c r="BI918" s="131"/>
      <c r="BJ918" s="131"/>
      <c r="BK918" s="131"/>
      <c r="BL918" s="131"/>
      <c r="BM918" s="131"/>
      <c r="BN918" s="131"/>
      <c r="BO918" s="131"/>
      <c r="BP918" s="131"/>
      <c r="BQ918" s="131"/>
      <c r="BR918" s="131"/>
      <c r="BS918" s="131"/>
      <c r="BT918" s="131"/>
      <c r="BU918" s="131"/>
      <c r="BV918" s="131"/>
      <c r="BW918" s="131"/>
      <c r="BX918" s="131"/>
      <c r="BY918" s="131"/>
      <c r="BZ918" s="131"/>
      <c r="CA918" s="131"/>
      <c r="CB918" s="131"/>
      <c r="CC918" s="131"/>
      <c r="CD918" s="131"/>
      <c r="CE918" s="131"/>
      <c r="CF918" s="131"/>
      <c r="CG918" s="131"/>
      <c r="CH918" s="131"/>
      <c r="CI918" s="131"/>
      <c r="CJ918" s="131"/>
      <c r="CK918" s="131"/>
      <c r="CL918" s="131"/>
      <c r="CM918" s="131"/>
      <c r="CN918" s="131"/>
      <c r="CO918" s="131"/>
      <c r="CP918" s="131"/>
      <c r="CQ918" s="131"/>
    </row>
    <row r="919" spans="1:95" ht="15" hidden="1" x14ac:dyDescent="0.25">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c r="AA919" s="131"/>
      <c r="AB919" s="131"/>
      <c r="AC919" s="131"/>
      <c r="AD919" s="131"/>
      <c r="AE919" s="131"/>
      <c r="AF919" s="131"/>
      <c r="AG919" s="131"/>
      <c r="AH919" s="131"/>
      <c r="AI919" s="131"/>
      <c r="AJ919" s="131"/>
      <c r="AK919" s="131"/>
      <c r="AL919" s="131"/>
      <c r="AM919" s="131"/>
      <c r="AN919" s="131"/>
      <c r="AO919" s="131"/>
      <c r="AP919" s="131"/>
      <c r="AQ919" s="131"/>
      <c r="AR919" s="131"/>
      <c r="AS919" s="131"/>
      <c r="AT919" s="131"/>
      <c r="AU919" s="131"/>
      <c r="AV919" s="131"/>
      <c r="AW919" s="131"/>
      <c r="AX919" s="131"/>
      <c r="AY919" s="131"/>
      <c r="AZ919" s="131"/>
      <c r="BA919" s="131"/>
      <c r="BB919" s="131"/>
      <c r="BC919" s="131"/>
      <c r="BD919" s="131"/>
      <c r="BE919" s="131"/>
      <c r="BF919" s="131"/>
      <c r="BG919" s="131"/>
      <c r="BH919" s="131"/>
      <c r="BI919" s="131"/>
      <c r="BJ919" s="131"/>
      <c r="BK919" s="131"/>
      <c r="BL919" s="131"/>
      <c r="BM919" s="131"/>
      <c r="BN919" s="131"/>
      <c r="BO919" s="131"/>
      <c r="BP919" s="131"/>
      <c r="BQ919" s="131"/>
      <c r="BR919" s="131"/>
      <c r="BS919" s="131"/>
      <c r="BT919" s="131"/>
      <c r="BU919" s="131"/>
      <c r="BV919" s="131"/>
      <c r="BW919" s="131"/>
      <c r="BX919" s="131"/>
      <c r="BY919" s="131"/>
      <c r="BZ919" s="131"/>
      <c r="CA919" s="131"/>
      <c r="CB919" s="131"/>
      <c r="CC919" s="131"/>
      <c r="CD919" s="131"/>
      <c r="CE919" s="131"/>
      <c r="CF919" s="131"/>
      <c r="CG919" s="131"/>
      <c r="CH919" s="131"/>
      <c r="CI919" s="131"/>
      <c r="CJ919" s="131"/>
      <c r="CK919" s="131"/>
      <c r="CL919" s="131"/>
      <c r="CM919" s="131"/>
      <c r="CN919" s="131"/>
      <c r="CO919" s="131"/>
      <c r="CP919" s="131"/>
      <c r="CQ919" s="131"/>
    </row>
    <row r="920" spans="1:95" ht="15" hidden="1" x14ac:dyDescent="0.25">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c r="AA920" s="131"/>
      <c r="AB920" s="131"/>
      <c r="AC920" s="131"/>
      <c r="AD920" s="131"/>
      <c r="AE920" s="131"/>
      <c r="AF920" s="131"/>
      <c r="AG920" s="131"/>
      <c r="AH920" s="131"/>
      <c r="AI920" s="131"/>
      <c r="AJ920" s="131"/>
      <c r="AK920" s="131"/>
      <c r="AL920" s="131"/>
      <c r="AM920" s="131"/>
      <c r="AN920" s="131"/>
      <c r="AO920" s="131"/>
      <c r="AP920" s="131"/>
      <c r="AQ920" s="131"/>
      <c r="AR920" s="131"/>
      <c r="AS920" s="131"/>
      <c r="AT920" s="131"/>
      <c r="AU920" s="131"/>
      <c r="AV920" s="131"/>
      <c r="AW920" s="131"/>
      <c r="AX920" s="131"/>
      <c r="AY920" s="131"/>
      <c r="AZ920" s="131"/>
      <c r="BA920" s="131"/>
      <c r="BB920" s="131"/>
      <c r="BC920" s="131"/>
      <c r="BD920" s="131"/>
      <c r="BE920" s="131"/>
      <c r="BF920" s="131"/>
      <c r="BG920" s="131"/>
      <c r="BH920" s="131"/>
      <c r="BI920" s="131"/>
      <c r="BJ920" s="131"/>
      <c r="BK920" s="131"/>
      <c r="BL920" s="131"/>
      <c r="BM920" s="131"/>
      <c r="BN920" s="131"/>
      <c r="BO920" s="131"/>
      <c r="BP920" s="131"/>
      <c r="BQ920" s="131"/>
      <c r="BR920" s="131"/>
      <c r="BS920" s="131"/>
      <c r="BT920" s="131"/>
      <c r="BU920" s="131"/>
      <c r="BV920" s="131"/>
      <c r="BW920" s="131"/>
      <c r="BX920" s="131"/>
      <c r="BY920" s="131"/>
      <c r="BZ920" s="131"/>
      <c r="CA920" s="131"/>
      <c r="CB920" s="131"/>
      <c r="CC920" s="131"/>
      <c r="CD920" s="131"/>
      <c r="CE920" s="131"/>
      <c r="CF920" s="131"/>
      <c r="CG920" s="131"/>
      <c r="CH920" s="131"/>
      <c r="CI920" s="131"/>
      <c r="CJ920" s="131"/>
      <c r="CK920" s="131"/>
      <c r="CL920" s="131"/>
      <c r="CM920" s="131"/>
      <c r="CN920" s="131"/>
      <c r="CO920" s="131"/>
      <c r="CP920" s="131"/>
      <c r="CQ920" s="131"/>
    </row>
    <row r="921" spans="1:95" ht="15" hidden="1" x14ac:dyDescent="0.25">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c r="AA921" s="131"/>
      <c r="AB921" s="131"/>
      <c r="AC921" s="131"/>
      <c r="AD921" s="131"/>
      <c r="AE921" s="131"/>
      <c r="AF921" s="131"/>
      <c r="AG921" s="131"/>
      <c r="AH921" s="131"/>
      <c r="AI921" s="131"/>
      <c r="AJ921" s="131"/>
      <c r="AK921" s="131"/>
      <c r="AL921" s="131"/>
      <c r="AM921" s="131"/>
      <c r="AN921" s="131"/>
      <c r="AO921" s="131"/>
      <c r="AP921" s="131"/>
      <c r="AQ921" s="131"/>
      <c r="AR921" s="131"/>
      <c r="AS921" s="131"/>
      <c r="AT921" s="131"/>
      <c r="AU921" s="131"/>
      <c r="AV921" s="131"/>
      <c r="AW921" s="131"/>
      <c r="AX921" s="131"/>
      <c r="AY921" s="131"/>
      <c r="AZ921" s="131"/>
      <c r="BA921" s="131"/>
      <c r="BB921" s="131"/>
      <c r="BC921" s="131"/>
      <c r="BD921" s="131"/>
      <c r="BE921" s="131"/>
      <c r="BF921" s="131"/>
      <c r="BG921" s="131"/>
      <c r="BH921" s="131"/>
      <c r="BI921" s="131"/>
      <c r="BJ921" s="131"/>
      <c r="BK921" s="131"/>
      <c r="BL921" s="131"/>
      <c r="BM921" s="131"/>
      <c r="BN921" s="131"/>
      <c r="BO921" s="131"/>
      <c r="BP921" s="131"/>
      <c r="BQ921" s="131"/>
      <c r="BR921" s="131"/>
      <c r="BS921" s="131"/>
      <c r="BT921" s="131"/>
      <c r="BU921" s="131"/>
      <c r="BV921" s="131"/>
      <c r="BW921" s="131"/>
      <c r="BX921" s="131"/>
      <c r="BY921" s="131"/>
      <c r="BZ921" s="131"/>
      <c r="CA921" s="131"/>
      <c r="CB921" s="131"/>
      <c r="CC921" s="131"/>
      <c r="CD921" s="131"/>
      <c r="CE921" s="131"/>
      <c r="CF921" s="131"/>
      <c r="CG921" s="131"/>
      <c r="CH921" s="131"/>
      <c r="CI921" s="131"/>
      <c r="CJ921" s="131"/>
      <c r="CK921" s="131"/>
      <c r="CL921" s="131"/>
      <c r="CM921" s="131"/>
      <c r="CN921" s="131"/>
      <c r="CO921" s="131"/>
      <c r="CP921" s="131"/>
      <c r="CQ921" s="131"/>
    </row>
    <row r="922" spans="1:95" ht="15" hidden="1" x14ac:dyDescent="0.25">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c r="AA922" s="131"/>
      <c r="AB922" s="131"/>
      <c r="AC922" s="131"/>
      <c r="AD922" s="131"/>
      <c r="AE922" s="131"/>
      <c r="AF922" s="131"/>
      <c r="AG922" s="131"/>
      <c r="AH922" s="131"/>
      <c r="AI922" s="131"/>
      <c r="AJ922" s="131"/>
      <c r="AK922" s="131"/>
      <c r="AL922" s="131"/>
      <c r="AM922" s="131"/>
      <c r="AN922" s="131"/>
      <c r="AO922" s="131"/>
      <c r="AP922" s="131"/>
      <c r="AQ922" s="131"/>
      <c r="AR922" s="131"/>
      <c r="AS922" s="131"/>
      <c r="AT922" s="131"/>
      <c r="AU922" s="131"/>
      <c r="AV922" s="131"/>
      <c r="AW922" s="131"/>
      <c r="AX922" s="131"/>
      <c r="AY922" s="131"/>
      <c r="AZ922" s="131"/>
      <c r="BA922" s="131"/>
      <c r="BB922" s="131"/>
      <c r="BC922" s="131"/>
      <c r="BD922" s="131"/>
      <c r="BE922" s="131"/>
      <c r="BF922" s="131"/>
      <c r="BG922" s="131"/>
      <c r="BH922" s="131"/>
      <c r="BI922" s="131"/>
      <c r="BJ922" s="131"/>
      <c r="BK922" s="131"/>
      <c r="BL922" s="131"/>
      <c r="BM922" s="131"/>
      <c r="BN922" s="131"/>
      <c r="BO922" s="131"/>
      <c r="BP922" s="131"/>
      <c r="BQ922" s="131"/>
      <c r="BR922" s="131"/>
      <c r="BS922" s="131"/>
      <c r="BT922" s="131"/>
      <c r="BU922" s="131"/>
      <c r="BV922" s="131"/>
      <c r="BW922" s="131"/>
      <c r="BX922" s="131"/>
      <c r="BY922" s="131"/>
      <c r="BZ922" s="131"/>
      <c r="CA922" s="131"/>
      <c r="CB922" s="131"/>
      <c r="CC922" s="131"/>
      <c r="CD922" s="131"/>
      <c r="CE922" s="131"/>
      <c r="CF922" s="131"/>
      <c r="CG922" s="131"/>
      <c r="CH922" s="131"/>
      <c r="CI922" s="131"/>
      <c r="CJ922" s="131"/>
      <c r="CK922" s="131"/>
      <c r="CL922" s="131"/>
      <c r="CM922" s="131"/>
      <c r="CN922" s="131"/>
      <c r="CO922" s="131"/>
      <c r="CP922" s="131"/>
      <c r="CQ922" s="131"/>
    </row>
    <row r="923" spans="1:95" ht="15" hidden="1" x14ac:dyDescent="0.25">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c r="AA923" s="131"/>
      <c r="AB923" s="131"/>
      <c r="AC923" s="131"/>
      <c r="AD923" s="131"/>
      <c r="AE923" s="131"/>
      <c r="AF923" s="131"/>
      <c r="AG923" s="131"/>
      <c r="AH923" s="131"/>
      <c r="AI923" s="131"/>
      <c r="AJ923" s="131"/>
      <c r="AK923" s="131"/>
      <c r="AL923" s="131"/>
      <c r="AM923" s="131"/>
      <c r="AN923" s="131"/>
      <c r="AO923" s="131"/>
      <c r="AP923" s="131"/>
      <c r="AQ923" s="131"/>
      <c r="AR923" s="131"/>
      <c r="AS923" s="131"/>
      <c r="AT923" s="131"/>
      <c r="AU923" s="131"/>
      <c r="AV923" s="131"/>
      <c r="AW923" s="131"/>
      <c r="AX923" s="131"/>
      <c r="AY923" s="131"/>
      <c r="AZ923" s="131"/>
      <c r="BA923" s="131"/>
      <c r="BB923" s="131"/>
      <c r="BC923" s="131"/>
      <c r="BD923" s="131"/>
      <c r="BE923" s="131"/>
      <c r="BF923" s="131"/>
      <c r="BG923" s="131"/>
      <c r="BH923" s="131"/>
      <c r="BI923" s="131"/>
      <c r="BJ923" s="131"/>
      <c r="BK923" s="131"/>
      <c r="BL923" s="131"/>
      <c r="BM923" s="131"/>
      <c r="BN923" s="131"/>
      <c r="BO923" s="131"/>
      <c r="BP923" s="131"/>
      <c r="BQ923" s="131"/>
      <c r="BR923" s="131"/>
      <c r="BS923" s="131"/>
      <c r="BT923" s="131"/>
      <c r="BU923" s="131"/>
      <c r="BV923" s="131"/>
      <c r="BW923" s="131"/>
      <c r="BX923" s="131"/>
      <c r="BY923" s="131"/>
      <c r="BZ923" s="131"/>
      <c r="CA923" s="131"/>
      <c r="CB923" s="131"/>
      <c r="CC923" s="131"/>
      <c r="CD923" s="131"/>
      <c r="CE923" s="131"/>
      <c r="CF923" s="131"/>
      <c r="CG923" s="131"/>
      <c r="CH923" s="131"/>
      <c r="CI923" s="131"/>
      <c r="CJ923" s="131"/>
      <c r="CK923" s="131"/>
      <c r="CL923" s="131"/>
      <c r="CM923" s="131"/>
      <c r="CN923" s="131"/>
      <c r="CO923" s="131"/>
      <c r="CP923" s="131"/>
      <c r="CQ923" s="131"/>
    </row>
    <row r="924" spans="1:95" ht="15" hidden="1" x14ac:dyDescent="0.25">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c r="AN924" s="131"/>
      <c r="AO924" s="131"/>
      <c r="AP924" s="131"/>
      <c r="AQ924" s="131"/>
      <c r="AR924" s="131"/>
      <c r="AS924" s="131"/>
      <c r="AT924" s="131"/>
      <c r="AU924" s="131"/>
      <c r="AV924" s="131"/>
      <c r="AW924" s="131"/>
      <c r="AX924" s="131"/>
      <c r="AY924" s="131"/>
      <c r="AZ924" s="131"/>
      <c r="BA924" s="131"/>
      <c r="BB924" s="131"/>
      <c r="BC924" s="131"/>
      <c r="BD924" s="131"/>
      <c r="BE924" s="131"/>
      <c r="BF924" s="131"/>
      <c r="BG924" s="131"/>
      <c r="BH924" s="131"/>
      <c r="BI924" s="131"/>
      <c r="BJ924" s="131"/>
      <c r="BK924" s="131"/>
      <c r="BL924" s="131"/>
      <c r="BM924" s="131"/>
      <c r="BN924" s="131"/>
      <c r="BO924" s="131"/>
      <c r="BP924" s="131"/>
      <c r="BQ924" s="131"/>
      <c r="BR924" s="131"/>
      <c r="BS924" s="131"/>
      <c r="BT924" s="131"/>
      <c r="BU924" s="131"/>
      <c r="BV924" s="131"/>
      <c r="BW924" s="131"/>
      <c r="BX924" s="131"/>
      <c r="BY924" s="131"/>
      <c r="BZ924" s="131"/>
      <c r="CA924" s="131"/>
      <c r="CB924" s="131"/>
      <c r="CC924" s="131"/>
      <c r="CD924" s="131"/>
      <c r="CE924" s="131"/>
      <c r="CF924" s="131"/>
      <c r="CG924" s="131"/>
      <c r="CH924" s="131"/>
      <c r="CI924" s="131"/>
      <c r="CJ924" s="131"/>
      <c r="CK924" s="131"/>
      <c r="CL924" s="131"/>
      <c r="CM924" s="131"/>
      <c r="CN924" s="131"/>
      <c r="CO924" s="131"/>
      <c r="CP924" s="131"/>
      <c r="CQ924" s="131"/>
    </row>
    <row r="925" spans="1:95" ht="15" hidden="1" x14ac:dyDescent="0.25">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c r="AN925" s="131"/>
      <c r="AO925" s="131"/>
      <c r="AP925" s="131"/>
      <c r="AQ925" s="131"/>
      <c r="AR925" s="131"/>
      <c r="AS925" s="131"/>
      <c r="AT925" s="131"/>
      <c r="AU925" s="131"/>
      <c r="AV925" s="131"/>
      <c r="AW925" s="131"/>
      <c r="AX925" s="131"/>
      <c r="AY925" s="131"/>
      <c r="AZ925" s="131"/>
      <c r="BA925" s="131"/>
      <c r="BB925" s="131"/>
      <c r="BC925" s="131"/>
      <c r="BD925" s="131"/>
      <c r="BE925" s="131"/>
      <c r="BF925" s="131"/>
      <c r="BG925" s="131"/>
      <c r="BH925" s="131"/>
      <c r="BI925" s="131"/>
      <c r="BJ925" s="131"/>
      <c r="BK925" s="131"/>
      <c r="BL925" s="131"/>
      <c r="BM925" s="131"/>
      <c r="BN925" s="131"/>
      <c r="BO925" s="131"/>
      <c r="BP925" s="131"/>
      <c r="BQ925" s="131"/>
      <c r="BR925" s="131"/>
      <c r="BS925" s="131"/>
      <c r="BT925" s="131"/>
      <c r="BU925" s="131"/>
      <c r="BV925" s="131"/>
      <c r="BW925" s="131"/>
      <c r="BX925" s="131"/>
      <c r="BY925" s="131"/>
      <c r="BZ925" s="131"/>
      <c r="CA925" s="131"/>
      <c r="CB925" s="131"/>
      <c r="CC925" s="131"/>
      <c r="CD925" s="131"/>
      <c r="CE925" s="131"/>
      <c r="CF925" s="131"/>
      <c r="CG925" s="131"/>
      <c r="CH925" s="131"/>
      <c r="CI925" s="131"/>
      <c r="CJ925" s="131"/>
      <c r="CK925" s="131"/>
      <c r="CL925" s="131"/>
      <c r="CM925" s="131"/>
      <c r="CN925" s="131"/>
      <c r="CO925" s="131"/>
      <c r="CP925" s="131"/>
      <c r="CQ925" s="131"/>
    </row>
    <row r="926" spans="1:95" ht="15" hidden="1" x14ac:dyDescent="0.25">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c r="AA926" s="131"/>
      <c r="AB926" s="131"/>
      <c r="AC926" s="131"/>
      <c r="AD926" s="131"/>
      <c r="AE926" s="131"/>
      <c r="AF926" s="131"/>
      <c r="AG926" s="131"/>
      <c r="AH926" s="131"/>
      <c r="AI926" s="131"/>
      <c r="AJ926" s="131"/>
      <c r="AK926" s="131"/>
      <c r="AL926" s="131"/>
      <c r="AM926" s="131"/>
      <c r="AN926" s="131"/>
      <c r="AO926" s="131"/>
      <c r="AP926" s="131"/>
      <c r="AQ926" s="131"/>
      <c r="AR926" s="131"/>
      <c r="AS926" s="131"/>
      <c r="AT926" s="131"/>
      <c r="AU926" s="131"/>
      <c r="AV926" s="131"/>
      <c r="AW926" s="131"/>
      <c r="AX926" s="131"/>
      <c r="AY926" s="131"/>
      <c r="AZ926" s="131"/>
      <c r="BA926" s="131"/>
      <c r="BB926" s="131"/>
      <c r="BC926" s="131"/>
      <c r="BD926" s="131"/>
      <c r="BE926" s="131"/>
      <c r="BF926" s="131"/>
      <c r="BG926" s="131"/>
      <c r="BH926" s="131"/>
      <c r="BI926" s="131"/>
      <c r="BJ926" s="131"/>
      <c r="BK926" s="131"/>
      <c r="BL926" s="131"/>
      <c r="BM926" s="131"/>
      <c r="BN926" s="131"/>
      <c r="BO926" s="131"/>
      <c r="BP926" s="131"/>
      <c r="BQ926" s="131"/>
      <c r="BR926" s="131"/>
      <c r="BS926" s="131"/>
      <c r="BT926" s="131"/>
      <c r="BU926" s="131"/>
      <c r="BV926" s="131"/>
      <c r="BW926" s="131"/>
      <c r="BX926" s="131"/>
      <c r="BY926" s="131"/>
      <c r="BZ926" s="131"/>
      <c r="CA926" s="131"/>
      <c r="CB926" s="131"/>
      <c r="CC926" s="131"/>
      <c r="CD926" s="131"/>
      <c r="CE926" s="131"/>
      <c r="CF926" s="131"/>
      <c r="CG926" s="131"/>
      <c r="CH926" s="131"/>
      <c r="CI926" s="131"/>
      <c r="CJ926" s="131"/>
      <c r="CK926" s="131"/>
      <c r="CL926" s="131"/>
      <c r="CM926" s="131"/>
      <c r="CN926" s="131"/>
      <c r="CO926" s="131"/>
      <c r="CP926" s="131"/>
      <c r="CQ926" s="131"/>
    </row>
    <row r="927" spans="1:95" ht="15" hidden="1" x14ac:dyDescent="0.25">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c r="AA927" s="131"/>
      <c r="AB927" s="131"/>
      <c r="AC927" s="131"/>
      <c r="AD927" s="131"/>
      <c r="AE927" s="131"/>
      <c r="AF927" s="131"/>
      <c r="AG927" s="131"/>
      <c r="AH927" s="131"/>
      <c r="AI927" s="131"/>
      <c r="AJ927" s="131"/>
      <c r="AK927" s="131"/>
      <c r="AL927" s="131"/>
      <c r="AM927" s="131"/>
      <c r="AN927" s="131"/>
      <c r="AO927" s="131"/>
      <c r="AP927" s="131"/>
      <c r="AQ927" s="131"/>
      <c r="AR927" s="131"/>
      <c r="AS927" s="131"/>
      <c r="AT927" s="131"/>
      <c r="AU927" s="131"/>
      <c r="AV927" s="131"/>
      <c r="AW927" s="131"/>
      <c r="AX927" s="131"/>
      <c r="AY927" s="131"/>
      <c r="AZ927" s="131"/>
      <c r="BA927" s="131"/>
      <c r="BB927" s="131"/>
      <c r="BC927" s="131"/>
      <c r="BD927" s="131"/>
      <c r="BE927" s="131"/>
      <c r="BF927" s="131"/>
      <c r="BG927" s="131"/>
      <c r="BH927" s="131"/>
      <c r="BI927" s="131"/>
      <c r="BJ927" s="131"/>
      <c r="BK927" s="131"/>
      <c r="BL927" s="131"/>
      <c r="BM927" s="131"/>
      <c r="BN927" s="131"/>
      <c r="BO927" s="131"/>
      <c r="BP927" s="131"/>
      <c r="BQ927" s="131"/>
      <c r="BR927" s="131"/>
      <c r="BS927" s="131"/>
      <c r="BT927" s="131"/>
      <c r="BU927" s="131"/>
      <c r="BV927" s="131"/>
      <c r="BW927" s="131"/>
      <c r="BX927" s="131"/>
      <c r="BY927" s="131"/>
      <c r="BZ927" s="131"/>
      <c r="CA927" s="131"/>
      <c r="CB927" s="131"/>
      <c r="CC927" s="131"/>
      <c r="CD927" s="131"/>
      <c r="CE927" s="131"/>
      <c r="CF927" s="131"/>
      <c r="CG927" s="131"/>
      <c r="CH927" s="131"/>
      <c r="CI927" s="131"/>
      <c r="CJ927" s="131"/>
      <c r="CK927" s="131"/>
      <c r="CL927" s="131"/>
      <c r="CM927" s="131"/>
      <c r="CN927" s="131"/>
      <c r="CO927" s="131"/>
      <c r="CP927" s="131"/>
      <c r="CQ927" s="131"/>
    </row>
    <row r="928" spans="1:95" ht="15" hidden="1" x14ac:dyDescent="0.25">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c r="AA928" s="131"/>
      <c r="AB928" s="131"/>
      <c r="AC928" s="131"/>
      <c r="AD928" s="131"/>
      <c r="AE928" s="131"/>
      <c r="AF928" s="131"/>
      <c r="AG928" s="131"/>
      <c r="AH928" s="131"/>
      <c r="AI928" s="131"/>
      <c r="AJ928" s="131"/>
      <c r="AK928" s="131"/>
      <c r="AL928" s="131"/>
      <c r="AM928" s="131"/>
      <c r="AN928" s="131"/>
      <c r="AO928" s="131"/>
      <c r="AP928" s="131"/>
      <c r="AQ928" s="131"/>
      <c r="AR928" s="131"/>
      <c r="AS928" s="131"/>
      <c r="AT928" s="131"/>
      <c r="AU928" s="131"/>
      <c r="AV928" s="131"/>
      <c r="AW928" s="131"/>
      <c r="AX928" s="131"/>
      <c r="AY928" s="131"/>
      <c r="AZ928" s="131"/>
      <c r="BA928" s="131"/>
      <c r="BB928" s="131"/>
      <c r="BC928" s="131"/>
      <c r="BD928" s="131"/>
      <c r="BE928" s="131"/>
      <c r="BF928" s="131"/>
      <c r="BG928" s="131"/>
      <c r="BH928" s="131"/>
      <c r="BI928" s="131"/>
      <c r="BJ928" s="131"/>
      <c r="BK928" s="131"/>
      <c r="BL928" s="131"/>
      <c r="BM928" s="131"/>
      <c r="BN928" s="131"/>
      <c r="BO928" s="131"/>
      <c r="BP928" s="131"/>
      <c r="BQ928" s="131"/>
      <c r="BR928" s="131"/>
      <c r="BS928" s="131"/>
      <c r="BT928" s="131"/>
      <c r="BU928" s="131"/>
      <c r="BV928" s="131"/>
      <c r="BW928" s="131"/>
      <c r="BX928" s="131"/>
      <c r="BY928" s="131"/>
      <c r="BZ928" s="131"/>
      <c r="CA928" s="131"/>
      <c r="CB928" s="131"/>
      <c r="CC928" s="131"/>
      <c r="CD928" s="131"/>
      <c r="CE928" s="131"/>
      <c r="CF928" s="131"/>
      <c r="CG928" s="131"/>
      <c r="CH928" s="131"/>
      <c r="CI928" s="131"/>
      <c r="CJ928" s="131"/>
      <c r="CK928" s="131"/>
      <c r="CL928" s="131"/>
      <c r="CM928" s="131"/>
      <c r="CN928" s="131"/>
      <c r="CO928" s="131"/>
      <c r="CP928" s="131"/>
      <c r="CQ928" s="131"/>
    </row>
    <row r="929" spans="1:95" ht="15" hidden="1" x14ac:dyDescent="0.25">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c r="AA929" s="131"/>
      <c r="AB929" s="131"/>
      <c r="AC929" s="131"/>
      <c r="AD929" s="131"/>
      <c r="AE929" s="131"/>
      <c r="AF929" s="131"/>
      <c r="AG929" s="131"/>
      <c r="AH929" s="131"/>
      <c r="AI929" s="131"/>
      <c r="AJ929" s="131"/>
      <c r="AK929" s="131"/>
      <c r="AL929" s="131"/>
      <c r="AM929" s="131"/>
      <c r="AN929" s="131"/>
      <c r="AO929" s="131"/>
      <c r="AP929" s="131"/>
      <c r="AQ929" s="131"/>
      <c r="AR929" s="131"/>
      <c r="AS929" s="131"/>
      <c r="AT929" s="131"/>
      <c r="AU929" s="131"/>
      <c r="AV929" s="131"/>
      <c r="AW929" s="131"/>
      <c r="AX929" s="131"/>
      <c r="AY929" s="131"/>
      <c r="AZ929" s="131"/>
      <c r="BA929" s="131"/>
      <c r="BB929" s="131"/>
      <c r="BC929" s="131"/>
      <c r="BD929" s="131"/>
      <c r="BE929" s="131"/>
      <c r="BF929" s="131"/>
      <c r="BG929" s="131"/>
      <c r="BH929" s="131"/>
      <c r="BI929" s="131"/>
      <c r="BJ929" s="131"/>
      <c r="BK929" s="131"/>
      <c r="BL929" s="131"/>
      <c r="BM929" s="131"/>
      <c r="BN929" s="131"/>
      <c r="BO929" s="131"/>
      <c r="BP929" s="131"/>
      <c r="BQ929" s="131"/>
      <c r="BR929" s="131"/>
      <c r="BS929" s="131"/>
      <c r="BT929" s="131"/>
      <c r="BU929" s="131"/>
      <c r="BV929" s="131"/>
      <c r="BW929" s="131"/>
      <c r="BX929" s="131"/>
      <c r="BY929" s="131"/>
      <c r="BZ929" s="131"/>
      <c r="CA929" s="131"/>
      <c r="CB929" s="131"/>
      <c r="CC929" s="131"/>
      <c r="CD929" s="131"/>
      <c r="CE929" s="131"/>
      <c r="CF929" s="131"/>
      <c r="CG929" s="131"/>
      <c r="CH929" s="131"/>
      <c r="CI929" s="131"/>
      <c r="CJ929" s="131"/>
      <c r="CK929" s="131"/>
      <c r="CL929" s="131"/>
      <c r="CM929" s="131"/>
      <c r="CN929" s="131"/>
      <c r="CO929" s="131"/>
      <c r="CP929" s="131"/>
      <c r="CQ929" s="131"/>
    </row>
    <row r="930" spans="1:95" ht="15" hidden="1" x14ac:dyDescent="0.25">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c r="AA930" s="131"/>
      <c r="AB930" s="131"/>
      <c r="AC930" s="131"/>
      <c r="AD930" s="131"/>
      <c r="AE930" s="131"/>
      <c r="AF930" s="131"/>
      <c r="AG930" s="131"/>
      <c r="AH930" s="131"/>
      <c r="AI930" s="131"/>
      <c r="AJ930" s="131"/>
      <c r="AK930" s="131"/>
      <c r="AL930" s="131"/>
      <c r="AM930" s="131"/>
      <c r="AN930" s="131"/>
      <c r="AO930" s="131"/>
      <c r="AP930" s="131"/>
      <c r="AQ930" s="131"/>
      <c r="AR930" s="131"/>
      <c r="AS930" s="131"/>
      <c r="AT930" s="131"/>
      <c r="AU930" s="131"/>
      <c r="AV930" s="131"/>
      <c r="AW930" s="131"/>
      <c r="AX930" s="131"/>
      <c r="AY930" s="131"/>
      <c r="AZ930" s="131"/>
      <c r="BA930" s="131"/>
      <c r="BB930" s="131"/>
      <c r="BC930" s="131"/>
      <c r="BD930" s="131"/>
      <c r="BE930" s="131"/>
      <c r="BF930" s="131"/>
      <c r="BG930" s="131"/>
      <c r="BH930" s="131"/>
      <c r="BI930" s="131"/>
      <c r="BJ930" s="131"/>
      <c r="BK930" s="131"/>
      <c r="BL930" s="131"/>
      <c r="BM930" s="131"/>
      <c r="BN930" s="131"/>
      <c r="BO930" s="131"/>
      <c r="BP930" s="131"/>
      <c r="BQ930" s="131"/>
      <c r="BR930" s="131"/>
      <c r="BS930" s="131"/>
      <c r="BT930" s="131"/>
      <c r="BU930" s="131"/>
      <c r="BV930" s="131"/>
      <c r="BW930" s="131"/>
      <c r="BX930" s="131"/>
      <c r="BY930" s="131"/>
      <c r="BZ930" s="131"/>
      <c r="CA930" s="131"/>
      <c r="CB930" s="131"/>
      <c r="CC930" s="131"/>
      <c r="CD930" s="131"/>
      <c r="CE930" s="131"/>
      <c r="CF930" s="131"/>
      <c r="CG930" s="131"/>
      <c r="CH930" s="131"/>
      <c r="CI930" s="131"/>
      <c r="CJ930" s="131"/>
      <c r="CK930" s="131"/>
      <c r="CL930" s="131"/>
      <c r="CM930" s="131"/>
      <c r="CN930" s="131"/>
      <c r="CO930" s="131"/>
      <c r="CP930" s="131"/>
      <c r="CQ930" s="131"/>
    </row>
    <row r="931" spans="1:95" ht="15" hidden="1" x14ac:dyDescent="0.25">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c r="AA931" s="131"/>
      <c r="AB931" s="131"/>
      <c r="AC931" s="131"/>
      <c r="AD931" s="131"/>
      <c r="AE931" s="131"/>
      <c r="AF931" s="131"/>
      <c r="AG931" s="131"/>
      <c r="AH931" s="131"/>
      <c r="AI931" s="131"/>
      <c r="AJ931" s="131"/>
      <c r="AK931" s="131"/>
      <c r="AL931" s="131"/>
      <c r="AM931" s="131"/>
      <c r="AN931" s="131"/>
      <c r="AO931" s="131"/>
      <c r="AP931" s="131"/>
      <c r="AQ931" s="131"/>
      <c r="AR931" s="131"/>
      <c r="AS931" s="131"/>
      <c r="AT931" s="131"/>
      <c r="AU931" s="131"/>
      <c r="AV931" s="131"/>
      <c r="AW931" s="131"/>
      <c r="AX931" s="131"/>
      <c r="AY931" s="131"/>
      <c r="AZ931" s="131"/>
      <c r="BA931" s="131"/>
      <c r="BB931" s="131"/>
      <c r="BC931" s="131"/>
      <c r="BD931" s="131"/>
      <c r="BE931" s="131"/>
      <c r="BF931" s="131"/>
      <c r="BG931" s="131"/>
      <c r="BH931" s="131"/>
      <c r="BI931" s="131"/>
      <c r="BJ931" s="131"/>
      <c r="BK931" s="131"/>
      <c r="BL931" s="131"/>
      <c r="BM931" s="131"/>
      <c r="BN931" s="131"/>
      <c r="BO931" s="131"/>
      <c r="BP931" s="131"/>
      <c r="BQ931" s="131"/>
      <c r="BR931" s="131"/>
      <c r="BS931" s="131"/>
      <c r="BT931" s="131"/>
      <c r="BU931" s="131"/>
      <c r="BV931" s="131"/>
      <c r="BW931" s="131"/>
      <c r="BX931" s="131"/>
      <c r="BY931" s="131"/>
      <c r="BZ931" s="131"/>
      <c r="CA931" s="131"/>
      <c r="CB931" s="131"/>
      <c r="CC931" s="131"/>
      <c r="CD931" s="131"/>
      <c r="CE931" s="131"/>
      <c r="CF931" s="131"/>
      <c r="CG931" s="131"/>
      <c r="CH931" s="131"/>
      <c r="CI931" s="131"/>
      <c r="CJ931" s="131"/>
      <c r="CK931" s="131"/>
      <c r="CL931" s="131"/>
      <c r="CM931" s="131"/>
      <c r="CN931" s="131"/>
      <c r="CO931" s="131"/>
      <c r="CP931" s="131"/>
      <c r="CQ931" s="131"/>
    </row>
    <row r="932" spans="1:95" ht="15" hidden="1" x14ac:dyDescent="0.25">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c r="AN932" s="131"/>
      <c r="AO932" s="131"/>
      <c r="AP932" s="131"/>
      <c r="AQ932" s="131"/>
      <c r="AR932" s="131"/>
      <c r="AS932" s="131"/>
      <c r="AT932" s="131"/>
      <c r="AU932" s="131"/>
      <c r="AV932" s="131"/>
      <c r="AW932" s="131"/>
      <c r="AX932" s="131"/>
      <c r="AY932" s="131"/>
      <c r="AZ932" s="131"/>
      <c r="BA932" s="131"/>
      <c r="BB932" s="131"/>
      <c r="BC932" s="131"/>
      <c r="BD932" s="131"/>
      <c r="BE932" s="131"/>
      <c r="BF932" s="131"/>
      <c r="BG932" s="131"/>
      <c r="BH932" s="131"/>
      <c r="BI932" s="131"/>
      <c r="BJ932" s="131"/>
      <c r="BK932" s="131"/>
      <c r="BL932" s="131"/>
      <c r="BM932" s="131"/>
      <c r="BN932" s="131"/>
      <c r="BO932" s="131"/>
      <c r="BP932" s="131"/>
      <c r="BQ932" s="131"/>
      <c r="BR932" s="131"/>
      <c r="BS932" s="131"/>
      <c r="BT932" s="131"/>
      <c r="BU932" s="131"/>
      <c r="BV932" s="131"/>
      <c r="BW932" s="131"/>
      <c r="BX932" s="131"/>
      <c r="BY932" s="131"/>
      <c r="BZ932" s="131"/>
      <c r="CA932" s="131"/>
      <c r="CB932" s="131"/>
      <c r="CC932" s="131"/>
      <c r="CD932" s="131"/>
      <c r="CE932" s="131"/>
      <c r="CF932" s="131"/>
      <c r="CG932" s="131"/>
      <c r="CH932" s="131"/>
      <c r="CI932" s="131"/>
      <c r="CJ932" s="131"/>
      <c r="CK932" s="131"/>
      <c r="CL932" s="131"/>
      <c r="CM932" s="131"/>
      <c r="CN932" s="131"/>
      <c r="CO932" s="131"/>
      <c r="CP932" s="131"/>
      <c r="CQ932" s="131"/>
    </row>
    <row r="933" spans="1:95" ht="15" hidden="1" x14ac:dyDescent="0.25">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31"/>
      <c r="AO933" s="131"/>
      <c r="AP933" s="131"/>
      <c r="AQ933" s="131"/>
      <c r="AR933" s="131"/>
      <c r="AS933" s="131"/>
      <c r="AT933" s="131"/>
      <c r="AU933" s="131"/>
      <c r="AV933" s="131"/>
      <c r="AW933" s="131"/>
      <c r="AX933" s="131"/>
      <c r="AY933" s="131"/>
      <c r="AZ933" s="131"/>
      <c r="BA933" s="131"/>
      <c r="BB933" s="131"/>
      <c r="BC933" s="131"/>
      <c r="BD933" s="131"/>
      <c r="BE933" s="131"/>
      <c r="BF933" s="131"/>
      <c r="BG933" s="131"/>
      <c r="BH933" s="131"/>
      <c r="BI933" s="131"/>
      <c r="BJ933" s="131"/>
      <c r="BK933" s="131"/>
      <c r="BL933" s="131"/>
      <c r="BM933" s="131"/>
      <c r="BN933" s="131"/>
      <c r="BO933" s="131"/>
      <c r="BP933" s="131"/>
      <c r="BQ933" s="131"/>
      <c r="BR933" s="131"/>
      <c r="BS933" s="131"/>
      <c r="BT933" s="131"/>
      <c r="BU933" s="131"/>
      <c r="BV933" s="131"/>
      <c r="BW933" s="131"/>
      <c r="BX933" s="131"/>
      <c r="BY933" s="131"/>
      <c r="BZ933" s="131"/>
      <c r="CA933" s="131"/>
      <c r="CB933" s="131"/>
      <c r="CC933" s="131"/>
      <c r="CD933" s="131"/>
      <c r="CE933" s="131"/>
      <c r="CF933" s="131"/>
      <c r="CG933" s="131"/>
      <c r="CH933" s="131"/>
      <c r="CI933" s="131"/>
      <c r="CJ933" s="131"/>
      <c r="CK933" s="131"/>
      <c r="CL933" s="131"/>
      <c r="CM933" s="131"/>
      <c r="CN933" s="131"/>
      <c r="CO933" s="131"/>
      <c r="CP933" s="131"/>
      <c r="CQ933" s="131"/>
    </row>
    <row r="934" spans="1:95" ht="15" hidden="1" x14ac:dyDescent="0.25">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c r="AA934" s="131"/>
      <c r="AB934" s="131"/>
      <c r="AC934" s="131"/>
      <c r="AD934" s="131"/>
      <c r="AE934" s="131"/>
      <c r="AF934" s="131"/>
      <c r="AG934" s="131"/>
      <c r="AH934" s="131"/>
      <c r="AI934" s="131"/>
      <c r="AJ934" s="131"/>
      <c r="AK934" s="131"/>
      <c r="AL934" s="131"/>
      <c r="AM934" s="131"/>
      <c r="AN934" s="131"/>
      <c r="AO934" s="131"/>
      <c r="AP934" s="131"/>
      <c r="AQ934" s="131"/>
      <c r="AR934" s="131"/>
      <c r="AS934" s="131"/>
      <c r="AT934" s="131"/>
      <c r="AU934" s="131"/>
      <c r="AV934" s="131"/>
      <c r="AW934" s="131"/>
      <c r="AX934" s="131"/>
      <c r="AY934" s="131"/>
      <c r="AZ934" s="131"/>
      <c r="BA934" s="131"/>
      <c r="BB934" s="131"/>
      <c r="BC934" s="131"/>
      <c r="BD934" s="131"/>
      <c r="BE934" s="131"/>
      <c r="BF934" s="131"/>
      <c r="BG934" s="131"/>
      <c r="BH934" s="131"/>
      <c r="BI934" s="131"/>
      <c r="BJ934" s="131"/>
      <c r="BK934" s="131"/>
      <c r="BL934" s="131"/>
      <c r="BM934" s="131"/>
      <c r="BN934" s="131"/>
      <c r="BO934" s="131"/>
      <c r="BP934" s="131"/>
      <c r="BQ934" s="131"/>
      <c r="BR934" s="131"/>
      <c r="BS934" s="131"/>
      <c r="BT934" s="131"/>
      <c r="BU934" s="131"/>
      <c r="BV934" s="131"/>
      <c r="BW934" s="131"/>
      <c r="BX934" s="131"/>
      <c r="BY934" s="131"/>
      <c r="BZ934" s="131"/>
      <c r="CA934" s="131"/>
      <c r="CB934" s="131"/>
      <c r="CC934" s="131"/>
      <c r="CD934" s="131"/>
      <c r="CE934" s="131"/>
      <c r="CF934" s="131"/>
      <c r="CG934" s="131"/>
      <c r="CH934" s="131"/>
      <c r="CI934" s="131"/>
      <c r="CJ934" s="131"/>
      <c r="CK934" s="131"/>
      <c r="CL934" s="131"/>
      <c r="CM934" s="131"/>
      <c r="CN934" s="131"/>
      <c r="CO934" s="131"/>
      <c r="CP934" s="131"/>
      <c r="CQ934" s="131"/>
    </row>
    <row r="935" spans="1:95" ht="15" hidden="1" x14ac:dyDescent="0.25">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c r="AA935" s="131"/>
      <c r="AB935" s="131"/>
      <c r="AC935" s="131"/>
      <c r="AD935" s="131"/>
      <c r="AE935" s="131"/>
      <c r="AF935" s="131"/>
      <c r="AG935" s="131"/>
      <c r="AH935" s="131"/>
      <c r="AI935" s="131"/>
      <c r="AJ935" s="131"/>
      <c r="AK935" s="131"/>
      <c r="AL935" s="131"/>
      <c r="AM935" s="131"/>
      <c r="AN935" s="131"/>
      <c r="AO935" s="131"/>
      <c r="AP935" s="131"/>
      <c r="AQ935" s="131"/>
      <c r="AR935" s="131"/>
      <c r="AS935" s="131"/>
      <c r="AT935" s="131"/>
      <c r="AU935" s="131"/>
      <c r="AV935" s="131"/>
      <c r="AW935" s="131"/>
      <c r="AX935" s="131"/>
      <c r="AY935" s="131"/>
      <c r="AZ935" s="131"/>
      <c r="BA935" s="131"/>
      <c r="BB935" s="131"/>
      <c r="BC935" s="131"/>
      <c r="BD935" s="131"/>
      <c r="BE935" s="131"/>
      <c r="BF935" s="131"/>
      <c r="BG935" s="131"/>
      <c r="BH935" s="131"/>
      <c r="BI935" s="131"/>
      <c r="BJ935" s="131"/>
      <c r="BK935" s="131"/>
      <c r="BL935" s="131"/>
      <c r="BM935" s="131"/>
      <c r="BN935" s="131"/>
      <c r="BO935" s="131"/>
      <c r="BP935" s="131"/>
      <c r="BQ935" s="131"/>
      <c r="BR935" s="131"/>
      <c r="BS935" s="131"/>
      <c r="BT935" s="131"/>
      <c r="BU935" s="131"/>
      <c r="BV935" s="131"/>
      <c r="BW935" s="131"/>
      <c r="BX935" s="131"/>
      <c r="BY935" s="131"/>
      <c r="BZ935" s="131"/>
      <c r="CA935" s="131"/>
      <c r="CB935" s="131"/>
      <c r="CC935" s="131"/>
      <c r="CD935" s="131"/>
      <c r="CE935" s="131"/>
      <c r="CF935" s="131"/>
      <c r="CG935" s="131"/>
      <c r="CH935" s="131"/>
      <c r="CI935" s="131"/>
      <c r="CJ935" s="131"/>
      <c r="CK935" s="131"/>
      <c r="CL935" s="131"/>
      <c r="CM935" s="131"/>
      <c r="CN935" s="131"/>
      <c r="CO935" s="131"/>
      <c r="CP935" s="131"/>
      <c r="CQ935" s="131"/>
    </row>
    <row r="936" spans="1:95" ht="15" hidden="1" x14ac:dyDescent="0.25">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c r="AA936" s="131"/>
      <c r="AB936" s="131"/>
      <c r="AC936" s="131"/>
      <c r="AD936" s="131"/>
      <c r="AE936" s="131"/>
      <c r="AF936" s="131"/>
      <c r="AG936" s="131"/>
      <c r="AH936" s="131"/>
      <c r="AI936" s="131"/>
      <c r="AJ936" s="131"/>
      <c r="AK936" s="131"/>
      <c r="AL936" s="131"/>
      <c r="AM936" s="131"/>
      <c r="AN936" s="131"/>
      <c r="AO936" s="131"/>
      <c r="AP936" s="131"/>
      <c r="AQ936" s="131"/>
      <c r="AR936" s="131"/>
      <c r="AS936" s="131"/>
      <c r="AT936" s="131"/>
      <c r="AU936" s="131"/>
      <c r="AV936" s="131"/>
      <c r="AW936" s="131"/>
      <c r="AX936" s="131"/>
      <c r="AY936" s="131"/>
      <c r="AZ936" s="131"/>
      <c r="BA936" s="131"/>
      <c r="BB936" s="131"/>
      <c r="BC936" s="131"/>
      <c r="BD936" s="131"/>
      <c r="BE936" s="131"/>
      <c r="BF936" s="131"/>
      <c r="BG936" s="131"/>
      <c r="BH936" s="131"/>
      <c r="BI936" s="131"/>
      <c r="BJ936" s="131"/>
      <c r="BK936" s="131"/>
      <c r="BL936" s="131"/>
      <c r="BM936" s="131"/>
      <c r="BN936" s="131"/>
      <c r="BO936" s="131"/>
      <c r="BP936" s="131"/>
      <c r="BQ936" s="131"/>
      <c r="BR936" s="131"/>
      <c r="BS936" s="131"/>
      <c r="BT936" s="131"/>
      <c r="BU936" s="131"/>
      <c r="BV936" s="131"/>
      <c r="BW936" s="131"/>
      <c r="BX936" s="131"/>
      <c r="BY936" s="131"/>
      <c r="BZ936" s="131"/>
      <c r="CA936" s="131"/>
      <c r="CB936" s="131"/>
      <c r="CC936" s="131"/>
      <c r="CD936" s="131"/>
      <c r="CE936" s="131"/>
      <c r="CF936" s="131"/>
      <c r="CG936" s="131"/>
      <c r="CH936" s="131"/>
      <c r="CI936" s="131"/>
      <c r="CJ936" s="131"/>
      <c r="CK936" s="131"/>
      <c r="CL936" s="131"/>
      <c r="CM936" s="131"/>
      <c r="CN936" s="131"/>
      <c r="CO936" s="131"/>
      <c r="CP936" s="131"/>
      <c r="CQ936" s="131"/>
    </row>
    <row r="937" spans="1:95" ht="15" hidden="1" x14ac:dyDescent="0.25">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c r="AA937" s="131"/>
      <c r="AB937" s="131"/>
      <c r="AC937" s="131"/>
      <c r="AD937" s="131"/>
      <c r="AE937" s="131"/>
      <c r="AF937" s="131"/>
      <c r="AG937" s="131"/>
      <c r="AH937" s="131"/>
      <c r="AI937" s="131"/>
      <c r="AJ937" s="131"/>
      <c r="AK937" s="131"/>
      <c r="AL937" s="131"/>
      <c r="AM937" s="131"/>
      <c r="AN937" s="131"/>
      <c r="AO937" s="131"/>
      <c r="AP937" s="131"/>
      <c r="AQ937" s="131"/>
      <c r="AR937" s="131"/>
      <c r="AS937" s="131"/>
      <c r="AT937" s="131"/>
      <c r="AU937" s="131"/>
      <c r="AV937" s="131"/>
      <c r="AW937" s="131"/>
      <c r="AX937" s="131"/>
      <c r="AY937" s="131"/>
      <c r="AZ937" s="131"/>
      <c r="BA937" s="131"/>
      <c r="BB937" s="131"/>
      <c r="BC937" s="131"/>
      <c r="BD937" s="131"/>
      <c r="BE937" s="131"/>
      <c r="BF937" s="131"/>
      <c r="BG937" s="131"/>
      <c r="BH937" s="131"/>
      <c r="BI937" s="131"/>
      <c r="BJ937" s="131"/>
      <c r="BK937" s="131"/>
      <c r="BL937" s="131"/>
      <c r="BM937" s="131"/>
      <c r="BN937" s="131"/>
      <c r="BO937" s="131"/>
      <c r="BP937" s="131"/>
      <c r="BQ937" s="131"/>
      <c r="BR937" s="131"/>
      <c r="BS937" s="131"/>
      <c r="BT937" s="131"/>
      <c r="BU937" s="131"/>
      <c r="BV937" s="131"/>
      <c r="BW937" s="131"/>
      <c r="BX937" s="131"/>
      <c r="BY937" s="131"/>
      <c r="BZ937" s="131"/>
      <c r="CA937" s="131"/>
      <c r="CB937" s="131"/>
      <c r="CC937" s="131"/>
      <c r="CD937" s="131"/>
      <c r="CE937" s="131"/>
      <c r="CF937" s="131"/>
      <c r="CG937" s="131"/>
      <c r="CH937" s="131"/>
      <c r="CI937" s="131"/>
      <c r="CJ937" s="131"/>
      <c r="CK937" s="131"/>
      <c r="CL937" s="131"/>
      <c r="CM937" s="131"/>
      <c r="CN937" s="131"/>
      <c r="CO937" s="131"/>
      <c r="CP937" s="131"/>
      <c r="CQ937" s="131"/>
    </row>
    <row r="938" spans="1:95" ht="15" hidden="1" x14ac:dyDescent="0.25">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c r="AA938" s="131"/>
      <c r="AB938" s="131"/>
      <c r="AC938" s="131"/>
      <c r="AD938" s="131"/>
      <c r="AE938" s="131"/>
      <c r="AF938" s="131"/>
      <c r="AG938" s="131"/>
      <c r="AH938" s="131"/>
      <c r="AI938" s="131"/>
      <c r="AJ938" s="131"/>
      <c r="AK938" s="131"/>
      <c r="AL938" s="131"/>
      <c r="AM938" s="131"/>
      <c r="AN938" s="131"/>
      <c r="AO938" s="131"/>
      <c r="AP938" s="131"/>
      <c r="AQ938" s="131"/>
      <c r="AR938" s="131"/>
      <c r="AS938" s="131"/>
      <c r="AT938" s="131"/>
      <c r="AU938" s="131"/>
      <c r="AV938" s="131"/>
      <c r="AW938" s="131"/>
      <c r="AX938" s="131"/>
      <c r="AY938" s="131"/>
      <c r="AZ938" s="131"/>
      <c r="BA938" s="131"/>
      <c r="BB938" s="131"/>
      <c r="BC938" s="131"/>
      <c r="BD938" s="131"/>
      <c r="BE938" s="131"/>
      <c r="BF938" s="131"/>
      <c r="BG938" s="131"/>
      <c r="BH938" s="131"/>
      <c r="BI938" s="131"/>
      <c r="BJ938" s="131"/>
      <c r="BK938" s="131"/>
      <c r="BL938" s="131"/>
      <c r="BM938" s="131"/>
      <c r="BN938" s="131"/>
      <c r="BO938" s="131"/>
      <c r="BP938" s="131"/>
      <c r="BQ938" s="131"/>
      <c r="BR938" s="131"/>
      <c r="BS938" s="131"/>
      <c r="BT938" s="131"/>
      <c r="BU938" s="131"/>
      <c r="BV938" s="131"/>
      <c r="BW938" s="131"/>
      <c r="BX938" s="131"/>
      <c r="BY938" s="131"/>
      <c r="BZ938" s="131"/>
      <c r="CA938" s="131"/>
      <c r="CB938" s="131"/>
      <c r="CC938" s="131"/>
      <c r="CD938" s="131"/>
      <c r="CE938" s="131"/>
      <c r="CF938" s="131"/>
      <c r="CG938" s="131"/>
      <c r="CH938" s="131"/>
      <c r="CI938" s="131"/>
      <c r="CJ938" s="131"/>
      <c r="CK938" s="131"/>
      <c r="CL938" s="131"/>
      <c r="CM938" s="131"/>
      <c r="CN938" s="131"/>
      <c r="CO938" s="131"/>
      <c r="CP938" s="131"/>
      <c r="CQ938" s="131"/>
    </row>
    <row r="939" spans="1:95" hidden="1" x14ac:dyDescent="0.2"/>
    <row r="940" spans="1:95" hidden="1" x14ac:dyDescent="0.2"/>
    <row r="941" spans="1:95" hidden="1" x14ac:dyDescent="0.2"/>
    <row r="942" spans="1:95" hidden="1" x14ac:dyDescent="0.2"/>
    <row r="943" spans="1:95" hidden="1" x14ac:dyDescent="0.2"/>
    <row r="944" spans="1:95"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x14ac:dyDescent="0.2"/>
    <row r="992" x14ac:dyDescent="0.2"/>
  </sheetData>
  <mergeCells count="15">
    <mergeCell ref="B306:B307"/>
    <mergeCell ref="B325:B326"/>
    <mergeCell ref="B277:B278"/>
    <mergeCell ref="B181:B182"/>
    <mergeCell ref="B258:B259"/>
    <mergeCell ref="B210:B211"/>
    <mergeCell ref="B229:B230"/>
    <mergeCell ref="B300:B301"/>
    <mergeCell ref="B107:B108"/>
    <mergeCell ref="B156:B157"/>
    <mergeCell ref="B252:B253"/>
    <mergeCell ref="B204:B205"/>
    <mergeCell ref="B162:B163"/>
    <mergeCell ref="B114:B115"/>
    <mergeCell ref="B133:B1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7"/>
  <sheetViews>
    <sheetView topLeftCell="A19" workbookViewId="0">
      <selection activeCell="G58" sqref="G58"/>
    </sheetView>
  </sheetViews>
  <sheetFormatPr defaultRowHeight="12.75" x14ac:dyDescent="0.2"/>
  <sheetData>
    <row r="1" spans="2:18" ht="30" x14ac:dyDescent="0.25">
      <c r="B1" s="134"/>
      <c r="C1" s="91" t="s">
        <v>15</v>
      </c>
      <c r="D1" s="92" t="s">
        <v>16</v>
      </c>
      <c r="E1" s="135" t="s">
        <v>17</v>
      </c>
      <c r="F1" s="135" t="s">
        <v>18</v>
      </c>
      <c r="G1" s="135" t="s">
        <v>19</v>
      </c>
      <c r="H1" s="135" t="s">
        <v>20</v>
      </c>
      <c r="I1" s="135" t="s">
        <v>21</v>
      </c>
      <c r="J1" s="135" t="s">
        <v>22</v>
      </c>
      <c r="K1" s="135" t="s">
        <v>23</v>
      </c>
      <c r="L1" s="135" t="s">
        <v>24</v>
      </c>
      <c r="M1" s="135" t="s">
        <v>25</v>
      </c>
      <c r="N1" s="135" t="s">
        <v>26</v>
      </c>
      <c r="O1" s="135" t="s">
        <v>27</v>
      </c>
      <c r="P1" s="135" t="s">
        <v>28</v>
      </c>
      <c r="Q1" s="135" t="s">
        <v>29</v>
      </c>
    </row>
    <row r="2" spans="2:18" ht="30" x14ac:dyDescent="0.25">
      <c r="B2" s="91" t="s">
        <v>30</v>
      </c>
      <c r="C2" s="138"/>
      <c r="D2" s="138"/>
      <c r="E2" s="138"/>
      <c r="F2" s="138"/>
      <c r="G2" s="138"/>
      <c r="H2" s="138"/>
      <c r="I2" s="138"/>
      <c r="J2" s="138"/>
      <c r="K2" s="138"/>
      <c r="L2" s="138"/>
      <c r="M2" s="138"/>
      <c r="N2" s="138"/>
      <c r="O2" s="138"/>
      <c r="P2" s="138"/>
      <c r="Q2" s="136"/>
    </row>
    <row r="3" spans="2:18" ht="15" x14ac:dyDescent="0.25">
      <c r="B3" s="92" t="s">
        <v>16</v>
      </c>
      <c r="C3" s="110"/>
      <c r="D3" s="145">
        <f t="shared" ref="D3:Q3" si="0">Without_45_with_xx_amenity_value+Without_45_with_xx_AMI_value+Without_45_with_xx_dementia_value+Without_45_with_xx_stroke_value+Without_45_with_xx_sleep_disturbance_value</f>
        <v>0</v>
      </c>
      <c r="E3" s="145">
        <f t="shared" si="0"/>
        <v>-55.660916564967117</v>
      </c>
      <c r="F3" s="145">
        <f t="shared" si="0"/>
        <v>-200.31355534582858</v>
      </c>
      <c r="G3" s="145">
        <f t="shared" si="0"/>
        <v>-376.3458124506077</v>
      </c>
      <c r="H3" s="145">
        <f t="shared" si="0"/>
        <v>-583.9090816640977</v>
      </c>
      <c r="I3" s="145">
        <f t="shared" si="0"/>
        <v>-832.15192452409678</v>
      </c>
      <c r="J3" s="145">
        <f t="shared" si="0"/>
        <v>-1129.0388934784828</v>
      </c>
      <c r="K3" s="145">
        <f t="shared" si="0"/>
        <v>-1478.0614981893998</v>
      </c>
      <c r="L3" s="145">
        <f t="shared" si="0"/>
        <v>-1878.1159831316168</v>
      </c>
      <c r="M3" s="145">
        <f t="shared" si="0"/>
        <v>-2316.5578949652399</v>
      </c>
      <c r="N3" s="145">
        <f t="shared" si="0"/>
        <v>-2796.1303957577852</v>
      </c>
      <c r="O3" s="145">
        <f t="shared" si="0"/>
        <v>-3319.0534997314198</v>
      </c>
      <c r="P3" s="145">
        <f t="shared" si="0"/>
        <v>-3864.1431511207775</v>
      </c>
      <c r="Q3" s="145">
        <f t="shared" si="0"/>
        <v>-4412.9149654129433</v>
      </c>
      <c r="R3" s="26" t="s">
        <v>671</v>
      </c>
    </row>
    <row r="4" spans="2:18" ht="15" x14ac:dyDescent="0.25">
      <c r="B4" s="135" t="s">
        <v>17</v>
      </c>
      <c r="C4" s="152"/>
      <c r="D4" s="145">
        <f t="shared" ref="D4:Q4" si="1">Without_45_48_with_xx_amenity_value+Without_45_48_with_xx_AMI_value+Without_45_48_with_xx_dementia_value+Without_45_48_with_xx_stroke_value+Without_45_48_with_xx_sleep_disturbance_value</f>
        <v>55.660916564967117</v>
      </c>
      <c r="E4" s="145">
        <f t="shared" si="1"/>
        <v>0</v>
      </c>
      <c r="F4" s="145">
        <f t="shared" si="1"/>
        <v>-144.65263878086145</v>
      </c>
      <c r="G4" s="145">
        <f t="shared" si="1"/>
        <v>-320.68489588564057</v>
      </c>
      <c r="H4" s="145">
        <f t="shared" si="1"/>
        <v>-528.24816509913057</v>
      </c>
      <c r="I4" s="145">
        <f t="shared" si="1"/>
        <v>-776.49100795912977</v>
      </c>
      <c r="J4" s="145">
        <f t="shared" si="1"/>
        <v>-1073.3779769135158</v>
      </c>
      <c r="K4" s="145">
        <f t="shared" si="1"/>
        <v>-1422.4005816244328</v>
      </c>
      <c r="L4" s="145">
        <f t="shared" si="1"/>
        <v>-1822.4550665666497</v>
      </c>
      <c r="M4" s="145">
        <f t="shared" si="1"/>
        <v>-2260.8969784002729</v>
      </c>
      <c r="N4" s="145">
        <f t="shared" si="1"/>
        <v>-2740.4694791928182</v>
      </c>
      <c r="O4" s="145">
        <f t="shared" si="1"/>
        <v>-3263.3925831664528</v>
      </c>
      <c r="P4" s="145">
        <f t="shared" si="1"/>
        <v>-3808.4822345558105</v>
      </c>
      <c r="Q4" s="145">
        <f t="shared" si="1"/>
        <v>-4357.2540488479754</v>
      </c>
      <c r="R4" s="26" t="s">
        <v>672</v>
      </c>
    </row>
    <row r="5" spans="2:18" ht="15" x14ac:dyDescent="0.25">
      <c r="B5" s="135" t="s">
        <v>18</v>
      </c>
      <c r="C5" s="152"/>
      <c r="D5" s="145">
        <f t="shared" ref="D5:Q5" si="2">Without_48_51_with_xx_amenity_value+Without_48_51_with_xx_AMI_value+Without_48_51_with_xx_dementia_value+Without_48_51_with_xx_stroke_value+Without_48_51_with_xx_sleep_disturbance_value</f>
        <v>200.31355534582858</v>
      </c>
      <c r="E5" s="145">
        <f t="shared" si="2"/>
        <v>144.65263878086145</v>
      </c>
      <c r="F5" s="145">
        <f t="shared" si="2"/>
        <v>0</v>
      </c>
      <c r="G5" s="145">
        <f t="shared" si="2"/>
        <v>-176.03225710477909</v>
      </c>
      <c r="H5" s="145">
        <f t="shared" si="2"/>
        <v>-383.59552631826921</v>
      </c>
      <c r="I5" s="145">
        <f t="shared" si="2"/>
        <v>-631.83836917826829</v>
      </c>
      <c r="J5" s="145">
        <f t="shared" si="2"/>
        <v>-928.72533813265443</v>
      </c>
      <c r="K5" s="145">
        <f t="shared" si="2"/>
        <v>-1277.7479428435711</v>
      </c>
      <c r="L5" s="145">
        <f t="shared" si="2"/>
        <v>-1677.802427785788</v>
      </c>
      <c r="M5" s="145">
        <f t="shared" si="2"/>
        <v>-2116.2443396194112</v>
      </c>
      <c r="N5" s="145">
        <f t="shared" si="2"/>
        <v>-2595.816840411956</v>
      </c>
      <c r="O5" s="145">
        <f t="shared" si="2"/>
        <v>-3118.7399443855907</v>
      </c>
      <c r="P5" s="145">
        <f t="shared" si="2"/>
        <v>-3663.8295957749492</v>
      </c>
      <c r="Q5" s="145">
        <f t="shared" si="2"/>
        <v>-4212.6014100671146</v>
      </c>
      <c r="R5" s="26" t="s">
        <v>673</v>
      </c>
    </row>
    <row r="6" spans="2:18" ht="15" x14ac:dyDescent="0.25">
      <c r="B6" s="135" t="s">
        <v>19</v>
      </c>
      <c r="C6" s="152"/>
      <c r="D6" s="145">
        <f t="shared" ref="D6:Q6" si="3">Without_51_54_with_xx_amenity_value+Without_51_54_with_xx_AMI_value+Without_51_54_with_xx_dementia_value+Without_51_54_with_xx_stroke_value+Without_51_54_with_xx_sleep_disturbance_value</f>
        <v>376.3458124506077</v>
      </c>
      <c r="E6" s="145">
        <f t="shared" si="3"/>
        <v>320.68489588564057</v>
      </c>
      <c r="F6" s="145">
        <f t="shared" si="3"/>
        <v>176.03225710477909</v>
      </c>
      <c r="G6" s="145">
        <f t="shared" si="3"/>
        <v>0</v>
      </c>
      <c r="H6" s="145">
        <f t="shared" si="3"/>
        <v>-207.56326921349009</v>
      </c>
      <c r="I6" s="145">
        <f t="shared" si="3"/>
        <v>-455.80611207348915</v>
      </c>
      <c r="J6" s="145">
        <f t="shared" si="3"/>
        <v>-752.69308102787522</v>
      </c>
      <c r="K6" s="145">
        <f t="shared" si="3"/>
        <v>-1101.715685738792</v>
      </c>
      <c r="L6" s="145">
        <f t="shared" si="3"/>
        <v>-1501.7701706810089</v>
      </c>
      <c r="M6" s="145">
        <f t="shared" si="3"/>
        <v>-1940.2120825146321</v>
      </c>
      <c r="N6" s="145">
        <f t="shared" si="3"/>
        <v>-2419.7845833071769</v>
      </c>
      <c r="O6" s="145">
        <f t="shared" si="3"/>
        <v>-2942.707687280812</v>
      </c>
      <c r="P6" s="145">
        <f t="shared" si="3"/>
        <v>-3487.7973386701706</v>
      </c>
      <c r="Q6" s="145">
        <f t="shared" si="3"/>
        <v>-4036.5691529623355</v>
      </c>
      <c r="R6" s="26" t="s">
        <v>674</v>
      </c>
    </row>
    <row r="7" spans="2:18" ht="15" x14ac:dyDescent="0.25">
      <c r="B7" s="135" t="s">
        <v>20</v>
      </c>
      <c r="C7" s="152"/>
      <c r="D7" s="145">
        <f t="shared" ref="D7:Q7" si="4">Without_54_57_with_xx_amenity_value+Without_54_57_with_xx_AMI_value+Without_54_57_with_xx_dementia_value+Without_54_57_with_xx_stroke_value+Without_54_57_with_xx_sleep_disturbance_value</f>
        <v>583.9090816640977</v>
      </c>
      <c r="E7" s="145">
        <f t="shared" si="4"/>
        <v>528.24816509913057</v>
      </c>
      <c r="F7" s="145">
        <f t="shared" si="4"/>
        <v>383.59552631826921</v>
      </c>
      <c r="G7" s="145">
        <f t="shared" si="4"/>
        <v>207.56326921349009</v>
      </c>
      <c r="H7" s="145">
        <f t="shared" si="4"/>
        <v>0</v>
      </c>
      <c r="I7" s="145">
        <f t="shared" si="4"/>
        <v>-248.24284285999903</v>
      </c>
      <c r="J7" s="145">
        <f t="shared" si="4"/>
        <v>-545.12981181438522</v>
      </c>
      <c r="K7" s="145">
        <f t="shared" si="4"/>
        <v>-894.15241652530199</v>
      </c>
      <c r="L7" s="145">
        <f t="shared" si="4"/>
        <v>-1294.2069014675189</v>
      </c>
      <c r="M7" s="145">
        <f t="shared" si="4"/>
        <v>-1732.6488133011421</v>
      </c>
      <c r="N7" s="145">
        <f t="shared" si="4"/>
        <v>-2212.2213140936874</v>
      </c>
      <c r="O7" s="145">
        <f t="shared" si="4"/>
        <v>-2735.1444180673216</v>
      </c>
      <c r="P7" s="145">
        <f t="shared" si="4"/>
        <v>-3280.2340694566801</v>
      </c>
      <c r="Q7" s="145">
        <f t="shared" si="4"/>
        <v>-3829.005883748845</v>
      </c>
      <c r="R7" s="26" t="s">
        <v>675</v>
      </c>
    </row>
    <row r="8" spans="2:18" ht="15" x14ac:dyDescent="0.25">
      <c r="B8" s="135" t="s">
        <v>21</v>
      </c>
      <c r="C8" s="152"/>
      <c r="D8" s="145">
        <f t="shared" ref="D8:Q8" si="5">Without_57_60_with_xx_amenity_value+Without_57_60_with_xx_AMI_value+Without_57_60_with_xx_dementia_value+Without_57_60_with_xx_stroke_value+Without_57_60_with_xx_sleep_disturbance_value</f>
        <v>832.15192452409678</v>
      </c>
      <c r="E8" s="145">
        <f t="shared" si="5"/>
        <v>776.49100795912977</v>
      </c>
      <c r="F8" s="145">
        <f t="shared" si="5"/>
        <v>631.83836917826829</v>
      </c>
      <c r="G8" s="145">
        <f t="shared" si="5"/>
        <v>455.80611207348915</v>
      </c>
      <c r="H8" s="145">
        <f t="shared" si="5"/>
        <v>248.24284285999903</v>
      </c>
      <c r="I8" s="145">
        <f t="shared" si="5"/>
        <v>0</v>
      </c>
      <c r="J8" s="145">
        <f t="shared" si="5"/>
        <v>-296.88696895438613</v>
      </c>
      <c r="K8" s="145">
        <f t="shared" si="5"/>
        <v>-645.90957366530301</v>
      </c>
      <c r="L8" s="145">
        <f t="shared" si="5"/>
        <v>-1045.9640586075197</v>
      </c>
      <c r="M8" s="145">
        <f t="shared" si="5"/>
        <v>-1484.4059704411429</v>
      </c>
      <c r="N8" s="145">
        <f t="shared" si="5"/>
        <v>-1963.9784712336882</v>
      </c>
      <c r="O8" s="145">
        <f t="shared" si="5"/>
        <v>-2486.9015752073228</v>
      </c>
      <c r="P8" s="145">
        <f t="shared" si="5"/>
        <v>-3031.9912265966814</v>
      </c>
      <c r="Q8" s="145">
        <f t="shared" si="5"/>
        <v>-3580.7630408888463</v>
      </c>
      <c r="R8" s="26" t="s">
        <v>676</v>
      </c>
    </row>
    <row r="9" spans="2:18" ht="15" x14ac:dyDescent="0.25">
      <c r="B9" s="135" t="s">
        <v>22</v>
      </c>
      <c r="C9" s="152"/>
      <c r="D9" s="145">
        <f t="shared" ref="D9:Q9" si="6">Without_60_63_with_xx_amenity_value+Without_60_63_with_xx_AMI_value+Without_60_63_with_xx_dementia_value+Without_60_63_with_xx_stroke_value+Without_60_63_with_xx_sleep_disturbance_value</f>
        <v>1129.0388934784828</v>
      </c>
      <c r="E9" s="145">
        <f t="shared" si="6"/>
        <v>1073.3779769135158</v>
      </c>
      <c r="F9" s="145">
        <f t="shared" si="6"/>
        <v>928.72533813265443</v>
      </c>
      <c r="G9" s="145">
        <f t="shared" si="6"/>
        <v>752.69308102787522</v>
      </c>
      <c r="H9" s="145">
        <f t="shared" si="6"/>
        <v>545.12981181438522</v>
      </c>
      <c r="I9" s="145">
        <f t="shared" si="6"/>
        <v>296.88696895438613</v>
      </c>
      <c r="J9" s="145">
        <f t="shared" si="6"/>
        <v>0</v>
      </c>
      <c r="K9" s="145">
        <f t="shared" si="6"/>
        <v>-349.02260471091677</v>
      </c>
      <c r="L9" s="145">
        <f t="shared" si="6"/>
        <v>-749.07708965313373</v>
      </c>
      <c r="M9" s="145">
        <f t="shared" si="6"/>
        <v>-1187.5190014867567</v>
      </c>
      <c r="N9" s="145">
        <f t="shared" si="6"/>
        <v>-1667.0915022793019</v>
      </c>
      <c r="O9" s="145">
        <f t="shared" si="6"/>
        <v>-2190.0146062529366</v>
      </c>
      <c r="P9" s="145">
        <f t="shared" si="6"/>
        <v>-2735.1042576422951</v>
      </c>
      <c r="Q9" s="145">
        <f t="shared" si="6"/>
        <v>-3283.87607193446</v>
      </c>
      <c r="R9" s="26" t="s">
        <v>677</v>
      </c>
    </row>
    <row r="10" spans="2:18" ht="15" x14ac:dyDescent="0.25">
      <c r="B10" s="135" t="s">
        <v>23</v>
      </c>
      <c r="C10" s="152"/>
      <c r="D10" s="145">
        <f t="shared" ref="D10:Q10" si="7">Without_63_66_with_xx_amenity_value+Without_63_66_with_xx_AMI_value+Without_63_66_with_xx_dementia_value+Without_63_66_with_xx_stroke_value+Without_63_66_with_xx_sleep_disturbance_value</f>
        <v>1478.0614981893998</v>
      </c>
      <c r="E10" s="145">
        <f t="shared" si="7"/>
        <v>1422.4005816244328</v>
      </c>
      <c r="F10" s="145">
        <f t="shared" si="7"/>
        <v>1277.7479428435711</v>
      </c>
      <c r="G10" s="145">
        <f t="shared" si="7"/>
        <v>1101.715685738792</v>
      </c>
      <c r="H10" s="145">
        <f t="shared" si="7"/>
        <v>894.15241652530199</v>
      </c>
      <c r="I10" s="145">
        <f t="shared" si="7"/>
        <v>645.90957366530301</v>
      </c>
      <c r="J10" s="145">
        <f t="shared" si="7"/>
        <v>349.02260471091677</v>
      </c>
      <c r="K10" s="145">
        <f t="shared" si="7"/>
        <v>0</v>
      </c>
      <c r="L10" s="145">
        <f t="shared" si="7"/>
        <v>-400.05448494221685</v>
      </c>
      <c r="M10" s="145">
        <f t="shared" si="7"/>
        <v>-838.49639677584003</v>
      </c>
      <c r="N10" s="145">
        <f t="shared" si="7"/>
        <v>-1318.0688975683852</v>
      </c>
      <c r="O10" s="145">
        <f t="shared" si="7"/>
        <v>-1840.9920015420198</v>
      </c>
      <c r="P10" s="145">
        <f t="shared" si="7"/>
        <v>-2386.0816529313779</v>
      </c>
      <c r="Q10" s="145">
        <f t="shared" si="7"/>
        <v>-2934.8534672235432</v>
      </c>
      <c r="R10" s="26" t="s">
        <v>678</v>
      </c>
    </row>
    <row r="11" spans="2:18" ht="15" x14ac:dyDescent="0.25">
      <c r="B11" s="135" t="s">
        <v>24</v>
      </c>
      <c r="C11" s="152"/>
      <c r="D11" s="145">
        <f t="shared" ref="D11:Q11" si="8">Without_66_69_with_xx_amenity_value+Without_66_69_with_xx_AMI_value+Without_66_69_with_xx_dementia_value+Without_66_69_with_xx_stroke_value+Without_66_69_with_xx_sleep_disturbance_value</f>
        <v>1878.1159831316168</v>
      </c>
      <c r="E11" s="145">
        <f t="shared" si="8"/>
        <v>1822.4550665666497</v>
      </c>
      <c r="F11" s="145">
        <f t="shared" si="8"/>
        <v>1677.802427785788</v>
      </c>
      <c r="G11" s="145">
        <f t="shared" si="8"/>
        <v>1501.7701706810089</v>
      </c>
      <c r="H11" s="145">
        <f t="shared" si="8"/>
        <v>1294.2069014675189</v>
      </c>
      <c r="I11" s="145">
        <f t="shared" si="8"/>
        <v>1045.9640586075197</v>
      </c>
      <c r="J11" s="145">
        <f t="shared" si="8"/>
        <v>749.07708965313373</v>
      </c>
      <c r="K11" s="145">
        <f t="shared" si="8"/>
        <v>400.05448494221685</v>
      </c>
      <c r="L11" s="145">
        <f t="shared" si="8"/>
        <v>0</v>
      </c>
      <c r="M11" s="145">
        <f t="shared" si="8"/>
        <v>-438.44191183362318</v>
      </c>
      <c r="N11" s="145">
        <f t="shared" si="8"/>
        <v>-918.01441262616822</v>
      </c>
      <c r="O11" s="145">
        <f t="shared" si="8"/>
        <v>-1440.9375165998026</v>
      </c>
      <c r="P11" s="145">
        <f t="shared" si="8"/>
        <v>-1986.0271679891612</v>
      </c>
      <c r="Q11" s="145">
        <f t="shared" si="8"/>
        <v>-2534.7989822813261</v>
      </c>
      <c r="R11" s="26" t="s">
        <v>679</v>
      </c>
    </row>
    <row r="12" spans="2:18" ht="15" x14ac:dyDescent="0.25">
      <c r="B12" s="135" t="s">
        <v>25</v>
      </c>
      <c r="C12" s="152"/>
      <c r="D12" s="145">
        <f t="shared" ref="D12:Q12" si="9">Without_69_72_with_xx_amenity_value+Without_69_72_with_xx_AMI_value+Without_69_72_with_xx_dementia_value+Without_69_72_with_xx_stroke_value+Without_69_72_with_xx_sleep_disturbance_value</f>
        <v>2316.5578949652399</v>
      </c>
      <c r="E12" s="145">
        <f t="shared" si="9"/>
        <v>2260.8969784002729</v>
      </c>
      <c r="F12" s="145">
        <f t="shared" si="9"/>
        <v>2116.2443396194112</v>
      </c>
      <c r="G12" s="145">
        <f t="shared" si="9"/>
        <v>1940.2120825146321</v>
      </c>
      <c r="H12" s="145">
        <f t="shared" si="9"/>
        <v>1732.6488133011421</v>
      </c>
      <c r="I12" s="145">
        <f t="shared" si="9"/>
        <v>1484.4059704411429</v>
      </c>
      <c r="J12" s="145">
        <f t="shared" si="9"/>
        <v>1187.5190014867567</v>
      </c>
      <c r="K12" s="145">
        <f t="shared" si="9"/>
        <v>838.49639677584003</v>
      </c>
      <c r="L12" s="145">
        <f t="shared" si="9"/>
        <v>438.44191183362318</v>
      </c>
      <c r="M12" s="145">
        <f t="shared" si="9"/>
        <v>0</v>
      </c>
      <c r="N12" s="145">
        <f t="shared" si="9"/>
        <v>-479.5725007925451</v>
      </c>
      <c r="O12" s="145">
        <f t="shared" si="9"/>
        <v>-1002.4956047661796</v>
      </c>
      <c r="P12" s="145">
        <f t="shared" si="9"/>
        <v>-1547.585256155538</v>
      </c>
      <c r="Q12" s="145">
        <f t="shared" si="9"/>
        <v>-2096.3570704477029</v>
      </c>
      <c r="R12" s="26" t="s">
        <v>680</v>
      </c>
    </row>
    <row r="13" spans="2:18" ht="15" x14ac:dyDescent="0.25">
      <c r="B13" s="135" t="s">
        <v>26</v>
      </c>
      <c r="C13" s="152"/>
      <c r="D13" s="145">
        <f t="shared" ref="D13:Q13" si="10">Without_72_75_with_xx_amenity_value+Without_72_75_with_xx_AMI_value+Without_72_75_with_xx_dementia_value+Without_72_75_with_xx_stroke_value+Without_72_75_with_xx_sleep_disturbance_value</f>
        <v>2796.1303957577852</v>
      </c>
      <c r="E13" s="145">
        <f t="shared" si="10"/>
        <v>2740.4694791928182</v>
      </c>
      <c r="F13" s="145">
        <f t="shared" si="10"/>
        <v>2595.816840411956</v>
      </c>
      <c r="G13" s="145">
        <f t="shared" si="10"/>
        <v>2419.7845833071769</v>
      </c>
      <c r="H13" s="145">
        <f t="shared" si="10"/>
        <v>2212.2213140936874</v>
      </c>
      <c r="I13" s="145">
        <f t="shared" si="10"/>
        <v>1963.9784712336882</v>
      </c>
      <c r="J13" s="145">
        <f t="shared" si="10"/>
        <v>1667.0915022793019</v>
      </c>
      <c r="K13" s="145">
        <f t="shared" si="10"/>
        <v>1318.0688975683852</v>
      </c>
      <c r="L13" s="145">
        <f t="shared" si="10"/>
        <v>918.01441262616822</v>
      </c>
      <c r="M13" s="145">
        <f t="shared" si="10"/>
        <v>479.5725007925451</v>
      </c>
      <c r="N13" s="145">
        <f t="shared" si="10"/>
        <v>0</v>
      </c>
      <c r="O13" s="145">
        <f t="shared" si="10"/>
        <v>-522.9231039736344</v>
      </c>
      <c r="P13" s="145">
        <f t="shared" si="10"/>
        <v>-1068.0127553629927</v>
      </c>
      <c r="Q13" s="145">
        <f t="shared" si="10"/>
        <v>-1616.7845696551576</v>
      </c>
      <c r="R13" s="26" t="s">
        <v>681</v>
      </c>
    </row>
    <row r="14" spans="2:18" ht="15" x14ac:dyDescent="0.25">
      <c r="B14" s="135" t="s">
        <v>27</v>
      </c>
      <c r="C14" s="152"/>
      <c r="D14" s="145">
        <f t="shared" ref="D14:Q14" si="11">Without_75_78_with_xx_amenity_value+Without_75_78_with_xx_AMI_value+Without_75_78_with_xx_dementia_value+Without_75_78_with_xx_stroke_value+Without_75_78_with_xx_sleep_disturbance_value</f>
        <v>3319.0534997314198</v>
      </c>
      <c r="E14" s="145">
        <f t="shared" si="11"/>
        <v>3263.3925831664528</v>
      </c>
      <c r="F14" s="145">
        <f t="shared" si="11"/>
        <v>3118.7399443855907</v>
      </c>
      <c r="G14" s="145">
        <f t="shared" si="11"/>
        <v>2942.707687280812</v>
      </c>
      <c r="H14" s="145">
        <f t="shared" si="11"/>
        <v>2735.1444180673216</v>
      </c>
      <c r="I14" s="145">
        <f t="shared" si="11"/>
        <v>2486.9015752073228</v>
      </c>
      <c r="J14" s="145">
        <f t="shared" si="11"/>
        <v>2190.0146062529366</v>
      </c>
      <c r="K14" s="145">
        <f t="shared" si="11"/>
        <v>1840.9920015420198</v>
      </c>
      <c r="L14" s="145">
        <f t="shared" si="11"/>
        <v>1440.9375165998026</v>
      </c>
      <c r="M14" s="145">
        <f t="shared" si="11"/>
        <v>1002.4956047661796</v>
      </c>
      <c r="N14" s="145">
        <f t="shared" si="11"/>
        <v>522.9231039736344</v>
      </c>
      <c r="O14" s="145">
        <f t="shared" si="11"/>
        <v>0</v>
      </c>
      <c r="P14" s="145">
        <f t="shared" si="11"/>
        <v>-545.08965138935855</v>
      </c>
      <c r="Q14" s="145">
        <f t="shared" si="11"/>
        <v>-1093.8614656815234</v>
      </c>
      <c r="R14" s="26" t="s">
        <v>682</v>
      </c>
    </row>
    <row r="15" spans="2:18" ht="15" x14ac:dyDescent="0.25">
      <c r="B15" s="135" t="s">
        <v>28</v>
      </c>
      <c r="C15" s="152"/>
      <c r="D15" s="145">
        <f t="shared" ref="D15:Q15" si="12">Without_78_81_with_xx_amenity_value+Without_78_81_with_xx_AMI_value+Without_78_81_with_xx_dementia_value+Without_78_81_with_xx_stroke_value+Without_78_81_with_xx_sleep_disturbance_value</f>
        <v>3864.1431511207775</v>
      </c>
      <c r="E15" s="145">
        <f t="shared" si="12"/>
        <v>3808.4822345558105</v>
      </c>
      <c r="F15" s="145">
        <f t="shared" si="12"/>
        <v>3663.8295957749492</v>
      </c>
      <c r="G15" s="145">
        <f t="shared" si="12"/>
        <v>3487.7973386701706</v>
      </c>
      <c r="H15" s="145">
        <f t="shared" si="12"/>
        <v>3280.2340694566801</v>
      </c>
      <c r="I15" s="145">
        <f t="shared" si="12"/>
        <v>3031.9912265966814</v>
      </c>
      <c r="J15" s="145">
        <f t="shared" si="12"/>
        <v>2735.1042576422951</v>
      </c>
      <c r="K15" s="145">
        <f t="shared" si="12"/>
        <v>2386.0816529313779</v>
      </c>
      <c r="L15" s="145">
        <f t="shared" si="12"/>
        <v>1986.0271679891612</v>
      </c>
      <c r="M15" s="145">
        <f t="shared" si="12"/>
        <v>1547.585256155538</v>
      </c>
      <c r="N15" s="145">
        <f t="shared" si="12"/>
        <v>1068.0127553629927</v>
      </c>
      <c r="O15" s="145">
        <f t="shared" si="12"/>
        <v>545.08965138935855</v>
      </c>
      <c r="P15" s="145">
        <f t="shared" si="12"/>
        <v>0</v>
      </c>
      <c r="Q15" s="145">
        <f t="shared" si="12"/>
        <v>-548.77181429216489</v>
      </c>
      <c r="R15" s="26" t="s">
        <v>683</v>
      </c>
    </row>
    <row r="16" spans="2:18" ht="15" x14ac:dyDescent="0.25">
      <c r="B16" s="135" t="s">
        <v>29</v>
      </c>
      <c r="C16" s="153"/>
      <c r="D16" s="145">
        <f t="shared" ref="D16:Q16" si="13">Without_81_with_xx_amenity_value+Without_81_with_xx_AMI_value+Without_81_with_xx_dementia_value+Without_81_with_xx_stroke_value+Without_81_with_xx_sleep_disturbance_value</f>
        <v>4412.9149654129433</v>
      </c>
      <c r="E16" s="145">
        <f t="shared" si="13"/>
        <v>4357.2540488479754</v>
      </c>
      <c r="F16" s="145">
        <f t="shared" si="13"/>
        <v>4212.6014100671146</v>
      </c>
      <c r="G16" s="145">
        <f t="shared" si="13"/>
        <v>4036.5691529623355</v>
      </c>
      <c r="H16" s="145">
        <f t="shared" si="13"/>
        <v>3829.005883748845</v>
      </c>
      <c r="I16" s="145">
        <f t="shared" si="13"/>
        <v>3580.7630408888463</v>
      </c>
      <c r="J16" s="145">
        <f t="shared" si="13"/>
        <v>3283.87607193446</v>
      </c>
      <c r="K16" s="145">
        <f t="shared" si="13"/>
        <v>2934.8534672235432</v>
      </c>
      <c r="L16" s="145">
        <f t="shared" si="13"/>
        <v>2534.7989822813261</v>
      </c>
      <c r="M16" s="145">
        <f t="shared" si="13"/>
        <v>2096.3570704477029</v>
      </c>
      <c r="N16" s="145">
        <f t="shared" si="13"/>
        <v>1616.7845696551576</v>
      </c>
      <c r="O16" s="145">
        <f t="shared" si="13"/>
        <v>1093.8614656815234</v>
      </c>
      <c r="P16" s="145">
        <f t="shared" si="13"/>
        <v>548.77181429216489</v>
      </c>
      <c r="Q16" s="145">
        <f t="shared" si="13"/>
        <v>0</v>
      </c>
      <c r="R16" s="26" t="s">
        <v>684</v>
      </c>
    </row>
    <row r="18" spans="2:18" ht="30" x14ac:dyDescent="0.25">
      <c r="B18" s="134"/>
      <c r="C18" s="91" t="s">
        <v>15</v>
      </c>
      <c r="D18" s="92" t="s">
        <v>16</v>
      </c>
      <c r="E18" s="135" t="s">
        <v>17</v>
      </c>
      <c r="F18" s="135" t="s">
        <v>18</v>
      </c>
      <c r="G18" s="135" t="s">
        <v>19</v>
      </c>
      <c r="H18" s="135" t="s">
        <v>20</v>
      </c>
      <c r="I18" s="135" t="s">
        <v>21</v>
      </c>
      <c r="J18" s="135" t="s">
        <v>22</v>
      </c>
      <c r="K18" s="135" t="s">
        <v>23</v>
      </c>
      <c r="L18" s="135" t="s">
        <v>24</v>
      </c>
      <c r="M18" s="135" t="s">
        <v>25</v>
      </c>
      <c r="N18" s="135" t="s">
        <v>26</v>
      </c>
      <c r="O18" s="135" t="s">
        <v>27</v>
      </c>
      <c r="P18" s="135" t="s">
        <v>28</v>
      </c>
      <c r="Q18" s="135" t="s">
        <v>29</v>
      </c>
      <c r="R18" s="89"/>
    </row>
    <row r="19" spans="2:18" ht="30" x14ac:dyDescent="0.25">
      <c r="B19" s="91" t="s">
        <v>30</v>
      </c>
      <c r="C19" s="136"/>
      <c r="D19" s="137"/>
      <c r="E19" s="138"/>
      <c r="F19" s="138"/>
      <c r="G19" s="138"/>
      <c r="H19" s="138"/>
      <c r="I19" s="138"/>
      <c r="J19" s="138"/>
      <c r="K19" s="138"/>
      <c r="L19" s="138"/>
      <c r="M19" s="138"/>
      <c r="N19" s="138"/>
      <c r="O19" s="138"/>
      <c r="P19" s="138"/>
      <c r="Q19" s="136"/>
      <c r="R19" s="89"/>
    </row>
    <row r="20" spans="2:18" ht="15" x14ac:dyDescent="0.25">
      <c r="B20" s="92" t="s">
        <v>16</v>
      </c>
      <c r="C20" s="139"/>
      <c r="D20" s="145">
        <f t="shared" ref="D20:Q20" si="14">Opening_without_45_with_xx*Without_45_with_xx_composite_value</f>
        <v>0</v>
      </c>
      <c r="E20" s="145">
        <f t="shared" si="14"/>
        <v>-6957.6145706208899</v>
      </c>
      <c r="F20" s="145">
        <f t="shared" si="14"/>
        <v>-12219.126876095543</v>
      </c>
      <c r="G20" s="145">
        <f t="shared" si="14"/>
        <v>0</v>
      </c>
      <c r="H20" s="145">
        <f t="shared" si="14"/>
        <v>0</v>
      </c>
      <c r="I20" s="145">
        <f t="shared" si="14"/>
        <v>-832.15192452409678</v>
      </c>
      <c r="J20" s="145">
        <f t="shared" si="14"/>
        <v>0</v>
      </c>
      <c r="K20" s="145">
        <f t="shared" si="14"/>
        <v>0</v>
      </c>
      <c r="L20" s="145">
        <f t="shared" si="14"/>
        <v>0</v>
      </c>
      <c r="M20" s="145">
        <f t="shared" si="14"/>
        <v>0</v>
      </c>
      <c r="N20" s="145">
        <f t="shared" si="14"/>
        <v>0</v>
      </c>
      <c r="O20" s="145">
        <f t="shared" si="14"/>
        <v>0</v>
      </c>
      <c r="P20" s="145">
        <f t="shared" si="14"/>
        <v>0</v>
      </c>
      <c r="Q20" s="145">
        <f t="shared" si="14"/>
        <v>0</v>
      </c>
      <c r="R20" s="26" t="s">
        <v>685</v>
      </c>
    </row>
    <row r="21" spans="2:18" ht="15" x14ac:dyDescent="0.25">
      <c r="B21" s="135" t="s">
        <v>17</v>
      </c>
      <c r="C21" s="141"/>
      <c r="D21" s="145">
        <f t="shared" ref="D21:Q21" si="15">Opening_without_45_48_with_xx*Without_45_48_with_xx_composite_value</f>
        <v>0</v>
      </c>
      <c r="E21" s="145">
        <f t="shared" si="15"/>
        <v>0</v>
      </c>
      <c r="F21" s="145">
        <f t="shared" si="15"/>
        <v>-131633.90129058392</v>
      </c>
      <c r="G21" s="145">
        <f t="shared" si="15"/>
        <v>-12827.395835425623</v>
      </c>
      <c r="H21" s="145">
        <f t="shared" si="15"/>
        <v>-30638.393575749575</v>
      </c>
      <c r="I21" s="145">
        <f t="shared" si="15"/>
        <v>-25624.203262651281</v>
      </c>
      <c r="J21" s="145">
        <f t="shared" si="15"/>
        <v>-4293.5119076540632</v>
      </c>
      <c r="K21" s="145">
        <f t="shared" si="15"/>
        <v>0</v>
      </c>
      <c r="L21" s="145">
        <f t="shared" si="15"/>
        <v>0</v>
      </c>
      <c r="M21" s="145">
        <f t="shared" si="15"/>
        <v>0</v>
      </c>
      <c r="N21" s="145">
        <f t="shared" si="15"/>
        <v>0</v>
      </c>
      <c r="O21" s="145">
        <f t="shared" si="15"/>
        <v>0</v>
      </c>
      <c r="P21" s="145">
        <f t="shared" si="15"/>
        <v>0</v>
      </c>
      <c r="Q21" s="145">
        <f t="shared" si="15"/>
        <v>0</v>
      </c>
      <c r="R21" s="26" t="s">
        <v>686</v>
      </c>
    </row>
    <row r="22" spans="2:18" ht="15" x14ac:dyDescent="0.25">
      <c r="B22" s="135" t="s">
        <v>18</v>
      </c>
      <c r="C22" s="141"/>
      <c r="D22" s="145">
        <f t="shared" ref="D22:Q22" si="16">Opening_without_48_51_with_xx*Without_48_51_with_xx_composite_value</f>
        <v>0</v>
      </c>
      <c r="E22" s="145">
        <f t="shared" si="16"/>
        <v>0</v>
      </c>
      <c r="F22" s="145">
        <f t="shared" si="16"/>
        <v>0</v>
      </c>
      <c r="G22" s="145">
        <f t="shared" si="16"/>
        <v>-227081.61166516502</v>
      </c>
      <c r="H22" s="145">
        <f t="shared" si="16"/>
        <v>-62142.475263559609</v>
      </c>
      <c r="I22" s="145">
        <f t="shared" si="16"/>
        <v>-5686.5453226044147</v>
      </c>
      <c r="J22" s="145">
        <f t="shared" si="16"/>
        <v>-3714.9013525306177</v>
      </c>
      <c r="K22" s="145">
        <f t="shared" si="16"/>
        <v>-1277.7479428435711</v>
      </c>
      <c r="L22" s="145">
        <f t="shared" si="16"/>
        <v>0</v>
      </c>
      <c r="M22" s="145">
        <f t="shared" si="16"/>
        <v>-2116.2443396194112</v>
      </c>
      <c r="N22" s="145">
        <f t="shared" si="16"/>
        <v>0</v>
      </c>
      <c r="O22" s="145">
        <f t="shared" si="16"/>
        <v>0</v>
      </c>
      <c r="P22" s="145">
        <f t="shared" si="16"/>
        <v>0</v>
      </c>
      <c r="Q22" s="145">
        <f t="shared" si="16"/>
        <v>0</v>
      </c>
      <c r="R22" s="26" t="s">
        <v>687</v>
      </c>
    </row>
    <row r="23" spans="2:18" ht="15" x14ac:dyDescent="0.25">
      <c r="B23" s="135" t="s">
        <v>19</v>
      </c>
      <c r="C23" s="141"/>
      <c r="D23" s="145">
        <f t="shared" ref="D23:Q23" si="17">Opening_without_51_54_with_xx*Without_51_54_with_xx_composite_value</f>
        <v>0</v>
      </c>
      <c r="E23" s="145">
        <f t="shared" si="17"/>
        <v>0</v>
      </c>
      <c r="F23" s="145">
        <f t="shared" si="17"/>
        <v>352.06451420955818</v>
      </c>
      <c r="G23" s="145">
        <f t="shared" si="17"/>
        <v>0</v>
      </c>
      <c r="H23" s="145">
        <f t="shared" si="17"/>
        <v>-191580.89748405135</v>
      </c>
      <c r="I23" s="145">
        <f t="shared" si="17"/>
        <v>-35552.876741732151</v>
      </c>
      <c r="J23" s="145">
        <f t="shared" si="17"/>
        <v>-19570.020106724754</v>
      </c>
      <c r="K23" s="145">
        <f t="shared" si="17"/>
        <v>-16525.735286081879</v>
      </c>
      <c r="L23" s="145">
        <f t="shared" si="17"/>
        <v>-13515.931536129081</v>
      </c>
      <c r="M23" s="145">
        <f t="shared" si="17"/>
        <v>-5820.6362475438964</v>
      </c>
      <c r="N23" s="145">
        <f t="shared" si="17"/>
        <v>-4839.5691666143539</v>
      </c>
      <c r="O23" s="145">
        <f t="shared" si="17"/>
        <v>-11770.830749123248</v>
      </c>
      <c r="P23" s="145">
        <f t="shared" si="17"/>
        <v>0</v>
      </c>
      <c r="Q23" s="145">
        <f t="shared" si="17"/>
        <v>0</v>
      </c>
      <c r="R23" s="26" t="s">
        <v>688</v>
      </c>
    </row>
    <row r="24" spans="2:18" ht="15" x14ac:dyDescent="0.25">
      <c r="B24" s="135" t="s">
        <v>20</v>
      </c>
      <c r="C24" s="141"/>
      <c r="D24" s="145">
        <f t="shared" ref="D24:Q24" si="18">Opening_without_54_57_with_xx*Without_54_57_with_xx_composite_value</f>
        <v>0</v>
      </c>
      <c r="E24" s="145">
        <f t="shared" si="18"/>
        <v>0</v>
      </c>
      <c r="F24" s="145">
        <f t="shared" si="18"/>
        <v>0</v>
      </c>
      <c r="G24" s="145">
        <f t="shared" si="18"/>
        <v>830.25307685396035</v>
      </c>
      <c r="H24" s="145">
        <f t="shared" si="18"/>
        <v>0</v>
      </c>
      <c r="I24" s="145">
        <f t="shared" si="18"/>
        <v>-69756.238843659725</v>
      </c>
      <c r="J24" s="145">
        <f t="shared" si="18"/>
        <v>-7631.8173654013935</v>
      </c>
      <c r="K24" s="145">
        <f t="shared" si="18"/>
        <v>-894.15241652530199</v>
      </c>
      <c r="L24" s="145">
        <f t="shared" si="18"/>
        <v>-5176.8276058700758</v>
      </c>
      <c r="M24" s="145">
        <f t="shared" si="18"/>
        <v>0</v>
      </c>
      <c r="N24" s="145">
        <f t="shared" si="18"/>
        <v>0</v>
      </c>
      <c r="O24" s="145">
        <f t="shared" si="18"/>
        <v>0</v>
      </c>
      <c r="P24" s="145">
        <f t="shared" si="18"/>
        <v>0</v>
      </c>
      <c r="Q24" s="145">
        <f t="shared" si="18"/>
        <v>0</v>
      </c>
      <c r="R24" s="26" t="s">
        <v>689</v>
      </c>
    </row>
    <row r="25" spans="2:18" ht="15" x14ac:dyDescent="0.25">
      <c r="B25" s="135" t="s">
        <v>21</v>
      </c>
      <c r="C25" s="141"/>
      <c r="D25" s="145">
        <f t="shared" ref="D25:Q25" si="19">Opening_without_57_60_with_xx*Without_57_60_with_xx_composite_value</f>
        <v>0</v>
      </c>
      <c r="E25" s="145">
        <f t="shared" si="19"/>
        <v>0</v>
      </c>
      <c r="F25" s="145">
        <f t="shared" si="19"/>
        <v>0</v>
      </c>
      <c r="G25" s="145">
        <f t="shared" si="19"/>
        <v>0</v>
      </c>
      <c r="H25" s="145">
        <f t="shared" si="19"/>
        <v>4220.1283286199832</v>
      </c>
      <c r="I25" s="145">
        <f t="shared" si="19"/>
        <v>0</v>
      </c>
      <c r="J25" s="145">
        <f t="shared" si="19"/>
        <v>-46908.141094793013</v>
      </c>
      <c r="K25" s="145">
        <f t="shared" si="19"/>
        <v>-7105.0053103183327</v>
      </c>
      <c r="L25" s="145">
        <f t="shared" si="19"/>
        <v>-1045.9640586075197</v>
      </c>
      <c r="M25" s="145">
        <f t="shared" si="19"/>
        <v>-2968.8119408822859</v>
      </c>
      <c r="N25" s="145">
        <f t="shared" si="19"/>
        <v>0</v>
      </c>
      <c r="O25" s="145">
        <f t="shared" si="19"/>
        <v>0</v>
      </c>
      <c r="P25" s="145">
        <f t="shared" si="19"/>
        <v>0</v>
      </c>
      <c r="Q25" s="145">
        <f t="shared" si="19"/>
        <v>0</v>
      </c>
      <c r="R25" s="26" t="s">
        <v>690</v>
      </c>
    </row>
    <row r="26" spans="2:18" ht="15" x14ac:dyDescent="0.25">
      <c r="B26" s="135" t="s">
        <v>22</v>
      </c>
      <c r="C26" s="141"/>
      <c r="D26" s="145">
        <f t="shared" ref="D26:Q26" si="20">Opening_without_60_63_with_xx*Without_60_63_with_xx_composite_value</f>
        <v>0</v>
      </c>
      <c r="E26" s="145">
        <f t="shared" si="20"/>
        <v>0</v>
      </c>
      <c r="F26" s="145">
        <f t="shared" si="20"/>
        <v>0</v>
      </c>
      <c r="G26" s="145">
        <f t="shared" si="20"/>
        <v>0</v>
      </c>
      <c r="H26" s="145">
        <f t="shared" si="20"/>
        <v>0</v>
      </c>
      <c r="I26" s="145">
        <f t="shared" si="20"/>
        <v>12469.252696084217</v>
      </c>
      <c r="J26" s="145">
        <f t="shared" si="20"/>
        <v>0</v>
      </c>
      <c r="K26" s="145">
        <f t="shared" si="20"/>
        <v>-58984.82019614493</v>
      </c>
      <c r="L26" s="145">
        <f t="shared" si="20"/>
        <v>-28464.929406819083</v>
      </c>
      <c r="M26" s="145">
        <f t="shared" si="20"/>
        <v>-1187.5190014867567</v>
      </c>
      <c r="N26" s="145">
        <f t="shared" si="20"/>
        <v>0</v>
      </c>
      <c r="O26" s="145">
        <f t="shared" si="20"/>
        <v>0</v>
      </c>
      <c r="P26" s="145">
        <f t="shared" si="20"/>
        <v>0</v>
      </c>
      <c r="Q26" s="145">
        <f t="shared" si="20"/>
        <v>0</v>
      </c>
      <c r="R26" s="26" t="s">
        <v>691</v>
      </c>
    </row>
    <row r="27" spans="2:18" ht="15" x14ac:dyDescent="0.25">
      <c r="B27" s="135" t="s">
        <v>23</v>
      </c>
      <c r="C27" s="141"/>
      <c r="D27" s="145">
        <f t="shared" ref="D27:Q27" si="21">Opening_without_63_66_with_xx*Without_63_66_with_xx_composite_value</f>
        <v>0</v>
      </c>
      <c r="E27" s="145">
        <f t="shared" si="21"/>
        <v>0</v>
      </c>
      <c r="F27" s="145">
        <f t="shared" si="21"/>
        <v>0</v>
      </c>
      <c r="G27" s="145">
        <f t="shared" si="21"/>
        <v>0</v>
      </c>
      <c r="H27" s="145">
        <f t="shared" si="21"/>
        <v>0</v>
      </c>
      <c r="I27" s="145">
        <f t="shared" si="21"/>
        <v>32941.388256930455</v>
      </c>
      <c r="J27" s="145">
        <f t="shared" si="21"/>
        <v>3490.2260471091677</v>
      </c>
      <c r="K27" s="145">
        <f t="shared" si="21"/>
        <v>0</v>
      </c>
      <c r="L27" s="145">
        <f t="shared" si="21"/>
        <v>-54007.355467199275</v>
      </c>
      <c r="M27" s="145">
        <f t="shared" si="21"/>
        <v>-3353.9855871033601</v>
      </c>
      <c r="N27" s="145">
        <f t="shared" si="21"/>
        <v>0</v>
      </c>
      <c r="O27" s="145">
        <f t="shared" si="21"/>
        <v>0</v>
      </c>
      <c r="P27" s="145">
        <f t="shared" si="21"/>
        <v>0</v>
      </c>
      <c r="Q27" s="145">
        <f t="shared" si="21"/>
        <v>0</v>
      </c>
      <c r="R27" s="26" t="s">
        <v>692</v>
      </c>
    </row>
    <row r="28" spans="2:18" ht="15" x14ac:dyDescent="0.25">
      <c r="B28" s="135" t="s">
        <v>24</v>
      </c>
      <c r="C28" s="141"/>
      <c r="D28" s="145">
        <f t="shared" ref="D28:Q28" si="22">Opening_without_66_69_with_xx*Without_66_69_with_xx_composite_value</f>
        <v>0</v>
      </c>
      <c r="E28" s="145">
        <f t="shared" si="22"/>
        <v>0</v>
      </c>
      <c r="F28" s="145">
        <f t="shared" si="22"/>
        <v>0</v>
      </c>
      <c r="G28" s="145">
        <f t="shared" si="22"/>
        <v>0</v>
      </c>
      <c r="H28" s="145">
        <f t="shared" si="22"/>
        <v>0</v>
      </c>
      <c r="I28" s="145">
        <f t="shared" si="22"/>
        <v>0</v>
      </c>
      <c r="J28" s="145">
        <f t="shared" si="22"/>
        <v>0</v>
      </c>
      <c r="K28" s="145">
        <f t="shared" si="22"/>
        <v>17602.39733745754</v>
      </c>
      <c r="L28" s="145">
        <f t="shared" si="22"/>
        <v>0</v>
      </c>
      <c r="M28" s="145">
        <f t="shared" si="22"/>
        <v>-11837.931619507826</v>
      </c>
      <c r="N28" s="145">
        <f t="shared" si="22"/>
        <v>-1836.0288252523364</v>
      </c>
      <c r="O28" s="145">
        <f t="shared" si="22"/>
        <v>0</v>
      </c>
      <c r="P28" s="145">
        <f t="shared" si="22"/>
        <v>0</v>
      </c>
      <c r="Q28" s="145">
        <f t="shared" si="22"/>
        <v>0</v>
      </c>
      <c r="R28" s="26" t="s">
        <v>693</v>
      </c>
    </row>
    <row r="29" spans="2:18" ht="15" x14ac:dyDescent="0.25">
      <c r="B29" s="135" t="s">
        <v>25</v>
      </c>
      <c r="C29" s="141"/>
      <c r="D29" s="145">
        <f t="shared" ref="D29:Q29" si="23">Opening_without_69_72_with_xx*Without_69_72_with_xx_composite_value</f>
        <v>0</v>
      </c>
      <c r="E29" s="145">
        <f t="shared" si="23"/>
        <v>0</v>
      </c>
      <c r="F29" s="145">
        <f t="shared" si="23"/>
        <v>0</v>
      </c>
      <c r="G29" s="145">
        <f t="shared" si="23"/>
        <v>0</v>
      </c>
      <c r="H29" s="145">
        <f t="shared" si="23"/>
        <v>0</v>
      </c>
      <c r="I29" s="145">
        <f t="shared" si="23"/>
        <v>0</v>
      </c>
      <c r="J29" s="145">
        <f t="shared" si="23"/>
        <v>0</v>
      </c>
      <c r="K29" s="145">
        <f t="shared" si="23"/>
        <v>0</v>
      </c>
      <c r="L29" s="145">
        <f t="shared" si="23"/>
        <v>12714.815443175072</v>
      </c>
      <c r="M29" s="145">
        <f t="shared" si="23"/>
        <v>0</v>
      </c>
      <c r="N29" s="145">
        <f t="shared" si="23"/>
        <v>-16305.465026946533</v>
      </c>
      <c r="O29" s="145">
        <f t="shared" si="23"/>
        <v>0</v>
      </c>
      <c r="P29" s="145">
        <f t="shared" si="23"/>
        <v>0</v>
      </c>
      <c r="Q29" s="145">
        <f t="shared" si="23"/>
        <v>0</v>
      </c>
      <c r="R29" s="26" t="s">
        <v>694</v>
      </c>
    </row>
    <row r="30" spans="2:18" ht="15" x14ac:dyDescent="0.25">
      <c r="B30" s="135" t="s">
        <v>26</v>
      </c>
      <c r="C30" s="141"/>
      <c r="D30" s="145">
        <f t="shared" ref="D30:Q30" si="24">Opening_without_72_75_with_xx*Without_72_75_with_xx_composite_value</f>
        <v>0</v>
      </c>
      <c r="E30" s="145">
        <f t="shared" si="24"/>
        <v>0</v>
      </c>
      <c r="F30" s="145">
        <f t="shared" si="24"/>
        <v>0</v>
      </c>
      <c r="G30" s="145">
        <f t="shared" si="24"/>
        <v>0</v>
      </c>
      <c r="H30" s="145">
        <f t="shared" si="24"/>
        <v>0</v>
      </c>
      <c r="I30" s="145">
        <f t="shared" si="24"/>
        <v>0</v>
      </c>
      <c r="J30" s="145">
        <f t="shared" si="24"/>
        <v>0</v>
      </c>
      <c r="K30" s="145">
        <f t="shared" si="24"/>
        <v>0</v>
      </c>
      <c r="L30" s="145">
        <f t="shared" si="24"/>
        <v>0</v>
      </c>
      <c r="M30" s="145">
        <f t="shared" si="24"/>
        <v>18223.755030116714</v>
      </c>
      <c r="N30" s="145">
        <f t="shared" si="24"/>
        <v>0</v>
      </c>
      <c r="O30" s="145">
        <f t="shared" si="24"/>
        <v>-3660.461727815441</v>
      </c>
      <c r="P30" s="145">
        <f t="shared" si="24"/>
        <v>-1068.0127553629927</v>
      </c>
      <c r="Q30" s="145">
        <f t="shared" si="24"/>
        <v>0</v>
      </c>
      <c r="R30" s="26" t="s">
        <v>695</v>
      </c>
    </row>
    <row r="31" spans="2:18" ht="15" x14ac:dyDescent="0.25">
      <c r="B31" s="135" t="s">
        <v>27</v>
      </c>
      <c r="C31" s="141"/>
      <c r="D31" s="145">
        <f t="shared" ref="D31:Q31" si="25">Opening_without_75_78_with_xx*Without_75_78_with_xx_composite_value</f>
        <v>0</v>
      </c>
      <c r="E31" s="145">
        <f t="shared" si="25"/>
        <v>0</v>
      </c>
      <c r="F31" s="145">
        <f t="shared" si="25"/>
        <v>0</v>
      </c>
      <c r="G31" s="145">
        <f t="shared" si="25"/>
        <v>0</v>
      </c>
      <c r="H31" s="145">
        <f t="shared" si="25"/>
        <v>0</v>
      </c>
      <c r="I31" s="145">
        <f t="shared" si="25"/>
        <v>0</v>
      </c>
      <c r="J31" s="145">
        <f t="shared" si="25"/>
        <v>0</v>
      </c>
      <c r="K31" s="145">
        <f t="shared" si="25"/>
        <v>0</v>
      </c>
      <c r="L31" s="145">
        <f t="shared" si="25"/>
        <v>0</v>
      </c>
      <c r="M31" s="145">
        <f t="shared" si="25"/>
        <v>0</v>
      </c>
      <c r="N31" s="145">
        <f t="shared" si="25"/>
        <v>2091.6924158945376</v>
      </c>
      <c r="O31" s="145">
        <f t="shared" si="25"/>
        <v>0</v>
      </c>
      <c r="P31" s="145">
        <f t="shared" si="25"/>
        <v>0</v>
      </c>
      <c r="Q31" s="145">
        <f t="shared" si="25"/>
        <v>0</v>
      </c>
      <c r="R31" s="26" t="s">
        <v>696</v>
      </c>
    </row>
    <row r="32" spans="2:18" ht="15" x14ac:dyDescent="0.25">
      <c r="B32" s="135" t="s">
        <v>28</v>
      </c>
      <c r="C32" s="141"/>
      <c r="D32" s="145">
        <f t="shared" ref="D32:Q32" si="26">Opening_without_78_81_with_xx*Without_78_81_with_xx_composite_value</f>
        <v>0</v>
      </c>
      <c r="E32" s="145">
        <f t="shared" si="26"/>
        <v>0</v>
      </c>
      <c r="F32" s="145">
        <f t="shared" si="26"/>
        <v>0</v>
      </c>
      <c r="G32" s="145">
        <f t="shared" si="26"/>
        <v>0</v>
      </c>
      <c r="H32" s="145">
        <f t="shared" si="26"/>
        <v>0</v>
      </c>
      <c r="I32" s="145">
        <f t="shared" si="26"/>
        <v>0</v>
      </c>
      <c r="J32" s="145">
        <f t="shared" si="26"/>
        <v>0</v>
      </c>
      <c r="K32" s="145">
        <f t="shared" si="26"/>
        <v>0</v>
      </c>
      <c r="L32" s="145">
        <f t="shared" si="26"/>
        <v>0</v>
      </c>
      <c r="M32" s="145">
        <f t="shared" si="26"/>
        <v>0</v>
      </c>
      <c r="N32" s="145">
        <f t="shared" si="26"/>
        <v>0</v>
      </c>
      <c r="O32" s="145">
        <f t="shared" si="26"/>
        <v>0</v>
      </c>
      <c r="P32" s="145">
        <f t="shared" si="26"/>
        <v>0</v>
      </c>
      <c r="Q32" s="145">
        <f t="shared" si="26"/>
        <v>0</v>
      </c>
      <c r="R32" s="26" t="s">
        <v>697</v>
      </c>
    </row>
    <row r="33" spans="2:18" ht="15" x14ac:dyDescent="0.25">
      <c r="B33" s="135" t="s">
        <v>29</v>
      </c>
      <c r="C33" s="142"/>
      <c r="D33" s="145">
        <f t="shared" ref="D33:Q33" si="27">Opening_without_81_with_xx*Without_81_with_xx_composite_value</f>
        <v>0</v>
      </c>
      <c r="E33" s="145">
        <f t="shared" si="27"/>
        <v>0</v>
      </c>
      <c r="F33" s="145">
        <f t="shared" si="27"/>
        <v>0</v>
      </c>
      <c r="G33" s="145">
        <f t="shared" si="27"/>
        <v>0</v>
      </c>
      <c r="H33" s="145">
        <f t="shared" si="27"/>
        <v>0</v>
      </c>
      <c r="I33" s="145">
        <f t="shared" si="27"/>
        <v>0</v>
      </c>
      <c r="J33" s="145">
        <f t="shared" si="27"/>
        <v>0</v>
      </c>
      <c r="K33" s="145">
        <f t="shared" si="27"/>
        <v>0</v>
      </c>
      <c r="L33" s="145">
        <f t="shared" si="27"/>
        <v>0</v>
      </c>
      <c r="M33" s="145">
        <f t="shared" si="27"/>
        <v>0</v>
      </c>
      <c r="N33" s="145">
        <f t="shared" si="27"/>
        <v>0</v>
      </c>
      <c r="O33" s="145">
        <f t="shared" si="27"/>
        <v>0</v>
      </c>
      <c r="P33" s="145">
        <f t="shared" si="27"/>
        <v>0</v>
      </c>
      <c r="Q33" s="145">
        <f t="shared" si="27"/>
        <v>0</v>
      </c>
      <c r="R33" s="26" t="s">
        <v>698</v>
      </c>
    </row>
    <row r="34" spans="2:18" ht="15" x14ac:dyDescent="0.25">
      <c r="B34" s="133"/>
      <c r="C34" s="133"/>
      <c r="D34" s="133"/>
      <c r="E34" s="133"/>
      <c r="F34" s="133"/>
      <c r="G34" s="133"/>
      <c r="H34" s="133"/>
      <c r="I34" s="133"/>
      <c r="J34" s="133"/>
      <c r="K34" s="133"/>
      <c r="L34" s="133"/>
      <c r="M34" s="133"/>
      <c r="N34" s="133"/>
      <c r="O34" s="89"/>
      <c r="P34" s="89"/>
      <c r="Q34" s="89"/>
      <c r="R34" s="89"/>
    </row>
    <row r="35" spans="2:18" ht="15" x14ac:dyDescent="0.25">
      <c r="B35" s="143" t="s">
        <v>292</v>
      </c>
      <c r="C35" s="144">
        <f>SUM(Opening_without_45_with_xx_composite_cost,Opening_without_45_48_with_xx_composite_cost,Opening_without_48_51_with_xx_composite_cost,Opening_without_51_54_with_xx_composite_cost,Opening_without_54_57_with_xx_composite_cost,Opening_without_57_60_with_xx_composite_cost,Opening_without_60_63_with_xx_composite_cost,Opening_without_63_66_with_xx_composite_cost,Opening_without_66_69_with_xx_composite_cost,Opening_without_69_72_with_xx_composite_cost,Opening_without_72_75_with_xx_composite_cost,Opening_without_75_78_with_xx_composite_cost,Opening_without_78_81_with_xx_composite_cost,Opening_without_81_with_xx_composite_cost)</f>
        <v>-1043479.8175508735</v>
      </c>
      <c r="D35" s="30" t="s">
        <v>713</v>
      </c>
      <c r="E35" s="133"/>
      <c r="F35" s="133"/>
      <c r="G35" s="133"/>
      <c r="H35" s="133"/>
      <c r="I35" s="133"/>
      <c r="J35" s="133"/>
      <c r="K35" s="133"/>
      <c r="L35" s="133"/>
      <c r="M35" s="133"/>
      <c r="N35" s="133"/>
      <c r="O35" s="89"/>
      <c r="P35" s="89"/>
      <c r="Q35" s="89"/>
      <c r="R35" s="89"/>
    </row>
    <row r="36" spans="2:18" ht="15" x14ac:dyDescent="0.25">
      <c r="B36" s="133"/>
      <c r="C36" s="133"/>
      <c r="D36" s="133"/>
      <c r="E36" s="133"/>
      <c r="F36" s="133"/>
      <c r="G36" s="133"/>
      <c r="H36" s="133"/>
      <c r="I36" s="133"/>
      <c r="J36" s="133"/>
      <c r="K36" s="133"/>
      <c r="L36" s="133"/>
      <c r="M36" s="133"/>
      <c r="N36" s="133"/>
      <c r="O36" s="89"/>
      <c r="P36" s="89"/>
      <c r="Q36" s="89"/>
      <c r="R36" s="89"/>
    </row>
    <row r="37" spans="2:18" ht="15" x14ac:dyDescent="0.25">
      <c r="B37" s="133"/>
      <c r="C37" s="133"/>
      <c r="D37" s="133"/>
      <c r="E37" s="133"/>
      <c r="F37" s="133"/>
      <c r="G37" s="133"/>
      <c r="H37" s="133"/>
      <c r="I37" s="133"/>
      <c r="J37" s="133"/>
      <c r="K37" s="133"/>
      <c r="L37" s="133"/>
      <c r="M37" s="133"/>
      <c r="N37" s="133"/>
      <c r="O37" s="89"/>
      <c r="P37" s="89"/>
      <c r="Q37" s="89"/>
      <c r="R37" s="89"/>
    </row>
    <row r="38" spans="2:18" ht="30" x14ac:dyDescent="0.25">
      <c r="B38" s="134"/>
      <c r="C38" s="91" t="s">
        <v>15</v>
      </c>
      <c r="D38" s="92" t="s">
        <v>16</v>
      </c>
      <c r="E38" s="135" t="s">
        <v>17</v>
      </c>
      <c r="F38" s="135" t="s">
        <v>18</v>
      </c>
      <c r="G38" s="135" t="s">
        <v>19</v>
      </c>
      <c r="H38" s="135" t="s">
        <v>20</v>
      </c>
      <c r="I38" s="135" t="s">
        <v>21</v>
      </c>
      <c r="J38" s="135" t="s">
        <v>22</v>
      </c>
      <c r="K38" s="135" t="s">
        <v>23</v>
      </c>
      <c r="L38" s="135" t="s">
        <v>24</v>
      </c>
      <c r="M38" s="135" t="s">
        <v>25</v>
      </c>
      <c r="N38" s="135" t="s">
        <v>26</v>
      </c>
      <c r="O38" s="135" t="s">
        <v>27</v>
      </c>
      <c r="P38" s="135" t="s">
        <v>28</v>
      </c>
      <c r="Q38" s="135" t="s">
        <v>29</v>
      </c>
      <c r="R38" s="89"/>
    </row>
    <row r="39" spans="2:18" ht="30" x14ac:dyDescent="0.25">
      <c r="B39" s="91" t="s">
        <v>30</v>
      </c>
      <c r="C39" s="136"/>
      <c r="D39" s="137"/>
      <c r="E39" s="138"/>
      <c r="F39" s="138"/>
      <c r="G39" s="138"/>
      <c r="H39" s="138"/>
      <c r="I39" s="138"/>
      <c r="J39" s="138"/>
      <c r="K39" s="138"/>
      <c r="L39" s="138"/>
      <c r="M39" s="138"/>
      <c r="N39" s="138"/>
      <c r="O39" s="138"/>
      <c r="P39" s="138"/>
      <c r="Q39" s="136"/>
      <c r="R39" s="89"/>
    </row>
    <row r="40" spans="2:18" ht="15" x14ac:dyDescent="0.25">
      <c r="B40" s="92" t="s">
        <v>16</v>
      </c>
      <c r="C40" s="139"/>
      <c r="D40" s="145">
        <f t="shared" ref="D40:Q40" si="28">Forecast_without_45_with_xx*Without_45_with_xx_composite_value</f>
        <v>0</v>
      </c>
      <c r="E40" s="145">
        <f t="shared" si="28"/>
        <v>-2727.3849116833885</v>
      </c>
      <c r="F40" s="145">
        <f t="shared" si="28"/>
        <v>0</v>
      </c>
      <c r="G40" s="145">
        <f t="shared" si="28"/>
        <v>0</v>
      </c>
      <c r="H40" s="145">
        <f t="shared" si="28"/>
        <v>0</v>
      </c>
      <c r="I40" s="145">
        <f t="shared" si="28"/>
        <v>0</v>
      </c>
      <c r="J40" s="145">
        <f t="shared" si="28"/>
        <v>0</v>
      </c>
      <c r="K40" s="145">
        <f t="shared" si="28"/>
        <v>0</v>
      </c>
      <c r="L40" s="145">
        <f t="shared" si="28"/>
        <v>0</v>
      </c>
      <c r="M40" s="145">
        <f t="shared" si="28"/>
        <v>0</v>
      </c>
      <c r="N40" s="145">
        <f t="shared" si="28"/>
        <v>0</v>
      </c>
      <c r="O40" s="145">
        <f t="shared" si="28"/>
        <v>0</v>
      </c>
      <c r="P40" s="145">
        <f t="shared" si="28"/>
        <v>0</v>
      </c>
      <c r="Q40" s="145">
        <f t="shared" si="28"/>
        <v>0</v>
      </c>
      <c r="R40" s="26" t="s">
        <v>699</v>
      </c>
    </row>
    <row r="41" spans="2:18" ht="15" x14ac:dyDescent="0.25">
      <c r="B41" s="135" t="s">
        <v>17</v>
      </c>
      <c r="C41" s="141"/>
      <c r="D41" s="145">
        <f t="shared" ref="D41:Q41" si="29">Forecast_without_45_48_with_xx*Without_45_48_with_xx_composite_value</f>
        <v>0</v>
      </c>
      <c r="E41" s="145">
        <f t="shared" si="29"/>
        <v>0</v>
      </c>
      <c r="F41" s="145">
        <f t="shared" si="29"/>
        <v>-122520.78504738965</v>
      </c>
      <c r="G41" s="145">
        <f t="shared" si="29"/>
        <v>-15713.559898396388</v>
      </c>
      <c r="H41" s="145">
        <f t="shared" si="29"/>
        <v>-24299.415594560007</v>
      </c>
      <c r="I41" s="145">
        <f t="shared" si="29"/>
        <v>-20965.257214896505</v>
      </c>
      <c r="J41" s="145">
        <f t="shared" si="29"/>
        <v>-1073.3779769135158</v>
      </c>
      <c r="K41" s="145">
        <f t="shared" si="29"/>
        <v>0</v>
      </c>
      <c r="L41" s="145">
        <f t="shared" si="29"/>
        <v>0</v>
      </c>
      <c r="M41" s="145">
        <f t="shared" si="29"/>
        <v>0</v>
      </c>
      <c r="N41" s="145">
        <f t="shared" si="29"/>
        <v>0</v>
      </c>
      <c r="O41" s="145">
        <f t="shared" si="29"/>
        <v>0</v>
      </c>
      <c r="P41" s="145">
        <f t="shared" si="29"/>
        <v>0</v>
      </c>
      <c r="Q41" s="145">
        <f t="shared" si="29"/>
        <v>0</v>
      </c>
      <c r="R41" s="26" t="s">
        <v>700</v>
      </c>
    </row>
    <row r="42" spans="2:18" ht="15" x14ac:dyDescent="0.25">
      <c r="B42" s="135" t="s">
        <v>18</v>
      </c>
      <c r="C42" s="141"/>
      <c r="D42" s="145">
        <f t="shared" ref="D42:Q42" si="30">Forecast_without_48_51_with_xx*Without_48_51_with_xx_composite_value</f>
        <v>0</v>
      </c>
      <c r="E42" s="145">
        <f t="shared" si="30"/>
        <v>0</v>
      </c>
      <c r="F42" s="145">
        <f t="shared" si="30"/>
        <v>0</v>
      </c>
      <c r="G42" s="145">
        <f t="shared" si="30"/>
        <v>-211942.83755415402</v>
      </c>
      <c r="H42" s="145">
        <f t="shared" si="30"/>
        <v>-49867.418421374998</v>
      </c>
      <c r="I42" s="145">
        <f t="shared" si="30"/>
        <v>-3791.0302150696098</v>
      </c>
      <c r="J42" s="145">
        <f t="shared" si="30"/>
        <v>-928.72533813265443</v>
      </c>
      <c r="K42" s="145">
        <f t="shared" si="30"/>
        <v>-2555.4958856871422</v>
      </c>
      <c r="L42" s="145">
        <f t="shared" si="30"/>
        <v>0</v>
      </c>
      <c r="M42" s="145">
        <f t="shared" si="30"/>
        <v>-4232.4886792388224</v>
      </c>
      <c r="N42" s="145">
        <f t="shared" si="30"/>
        <v>0</v>
      </c>
      <c r="O42" s="145">
        <f t="shared" si="30"/>
        <v>0</v>
      </c>
      <c r="P42" s="145">
        <f t="shared" si="30"/>
        <v>0</v>
      </c>
      <c r="Q42" s="145">
        <f t="shared" si="30"/>
        <v>0</v>
      </c>
      <c r="R42" s="26" t="s">
        <v>701</v>
      </c>
    </row>
    <row r="43" spans="2:18" ht="15" x14ac:dyDescent="0.25">
      <c r="B43" s="135" t="s">
        <v>19</v>
      </c>
      <c r="C43" s="141"/>
      <c r="D43" s="145">
        <f t="shared" ref="D43:Q43" si="31">Forecast_without_51_54_with_xx*Without_51_54_with_xx_composite_value</f>
        <v>0</v>
      </c>
      <c r="E43" s="145">
        <f t="shared" si="31"/>
        <v>0</v>
      </c>
      <c r="F43" s="145">
        <f t="shared" si="31"/>
        <v>528.09677131433727</v>
      </c>
      <c r="G43" s="145">
        <f t="shared" si="31"/>
        <v>0</v>
      </c>
      <c r="H43" s="145">
        <f t="shared" si="31"/>
        <v>-185769.12594607362</v>
      </c>
      <c r="I43" s="145">
        <f t="shared" si="31"/>
        <v>-36464.488965879129</v>
      </c>
      <c r="J43" s="145">
        <f t="shared" si="31"/>
        <v>-21075.406268780505</v>
      </c>
      <c r="K43" s="145">
        <f t="shared" si="31"/>
        <v>-19830.882343298257</v>
      </c>
      <c r="L43" s="145">
        <f t="shared" si="31"/>
        <v>-16519.471877491098</v>
      </c>
      <c r="M43" s="145">
        <f t="shared" si="31"/>
        <v>-3880.4241650292643</v>
      </c>
      <c r="N43" s="145">
        <f t="shared" si="31"/>
        <v>-4839.5691666143539</v>
      </c>
      <c r="O43" s="145">
        <f t="shared" si="31"/>
        <v>-11770.830749123248</v>
      </c>
      <c r="P43" s="145">
        <f t="shared" si="31"/>
        <v>0</v>
      </c>
      <c r="Q43" s="145">
        <f t="shared" si="31"/>
        <v>0</v>
      </c>
      <c r="R43" s="26" t="s">
        <v>702</v>
      </c>
    </row>
    <row r="44" spans="2:18" ht="15" x14ac:dyDescent="0.25">
      <c r="B44" s="135" t="s">
        <v>20</v>
      </c>
      <c r="C44" s="141"/>
      <c r="D44" s="145">
        <f t="shared" ref="D44:Q44" si="32">Forecast_without_54_57_with_xx*Without_54_57_with_xx_composite_value</f>
        <v>0</v>
      </c>
      <c r="E44" s="145">
        <f t="shared" si="32"/>
        <v>0</v>
      </c>
      <c r="F44" s="145">
        <f t="shared" si="32"/>
        <v>0</v>
      </c>
      <c r="G44" s="145">
        <f t="shared" si="32"/>
        <v>1245.3796152809405</v>
      </c>
      <c r="H44" s="145">
        <f t="shared" si="32"/>
        <v>0</v>
      </c>
      <c r="I44" s="145">
        <f t="shared" si="32"/>
        <v>-61315.982186419758</v>
      </c>
      <c r="J44" s="145">
        <f t="shared" si="32"/>
        <v>-8722.0769890301635</v>
      </c>
      <c r="K44" s="145">
        <f t="shared" si="32"/>
        <v>0</v>
      </c>
      <c r="L44" s="145">
        <f t="shared" si="32"/>
        <v>-1294.2069014675189</v>
      </c>
      <c r="M44" s="145">
        <f t="shared" si="32"/>
        <v>-3465.2976266022843</v>
      </c>
      <c r="N44" s="145">
        <f t="shared" si="32"/>
        <v>0</v>
      </c>
      <c r="O44" s="145">
        <f t="shared" si="32"/>
        <v>0</v>
      </c>
      <c r="P44" s="145">
        <f t="shared" si="32"/>
        <v>0</v>
      </c>
      <c r="Q44" s="145">
        <f t="shared" si="32"/>
        <v>0</v>
      </c>
      <c r="R44" s="26" t="s">
        <v>703</v>
      </c>
    </row>
    <row r="45" spans="2:18" ht="15" x14ac:dyDescent="0.25">
      <c r="B45" s="135" t="s">
        <v>21</v>
      </c>
      <c r="C45" s="141"/>
      <c r="D45" s="145">
        <f t="shared" ref="D45:Q45" si="33">Forecast_without_57_60_with_xx*Without_57_60_with_xx_composite_value</f>
        <v>0</v>
      </c>
      <c r="E45" s="145">
        <f t="shared" si="33"/>
        <v>0</v>
      </c>
      <c r="F45" s="145">
        <f t="shared" si="33"/>
        <v>0</v>
      </c>
      <c r="G45" s="145">
        <f t="shared" si="33"/>
        <v>0</v>
      </c>
      <c r="H45" s="145">
        <f t="shared" si="33"/>
        <v>7943.770971519969</v>
      </c>
      <c r="I45" s="145">
        <f t="shared" si="33"/>
        <v>0</v>
      </c>
      <c r="J45" s="145">
        <f t="shared" si="33"/>
        <v>-40970.401715705288</v>
      </c>
      <c r="K45" s="145">
        <f t="shared" si="33"/>
        <v>-5813.1861629877276</v>
      </c>
      <c r="L45" s="145">
        <f t="shared" si="33"/>
        <v>-2091.9281172150395</v>
      </c>
      <c r="M45" s="145">
        <f t="shared" si="33"/>
        <v>-2968.8119408822859</v>
      </c>
      <c r="N45" s="145">
        <f t="shared" si="33"/>
        <v>0</v>
      </c>
      <c r="O45" s="145">
        <f t="shared" si="33"/>
        <v>0</v>
      </c>
      <c r="P45" s="145">
        <f t="shared" si="33"/>
        <v>0</v>
      </c>
      <c r="Q45" s="145">
        <f t="shared" si="33"/>
        <v>0</v>
      </c>
      <c r="R45" s="26" t="s">
        <v>704</v>
      </c>
    </row>
    <row r="46" spans="2:18" ht="15" x14ac:dyDescent="0.25">
      <c r="B46" s="135" t="s">
        <v>22</v>
      </c>
      <c r="C46" s="141"/>
      <c r="D46" s="145">
        <f t="shared" ref="D46:Q46" si="34">Forecast_without_60_63_with_xx*Without_60_63_with_xx_composite_value</f>
        <v>0</v>
      </c>
      <c r="E46" s="145">
        <f t="shared" si="34"/>
        <v>0</v>
      </c>
      <c r="F46" s="145">
        <f t="shared" si="34"/>
        <v>0</v>
      </c>
      <c r="G46" s="145">
        <f t="shared" si="34"/>
        <v>0</v>
      </c>
      <c r="H46" s="145">
        <f t="shared" si="34"/>
        <v>0</v>
      </c>
      <c r="I46" s="145">
        <f t="shared" si="34"/>
        <v>23750.957516350893</v>
      </c>
      <c r="J46" s="145">
        <f t="shared" si="34"/>
        <v>0</v>
      </c>
      <c r="K46" s="145">
        <f t="shared" si="34"/>
        <v>-57239.707172590352</v>
      </c>
      <c r="L46" s="145">
        <f t="shared" si="34"/>
        <v>-13483.387613756408</v>
      </c>
      <c r="M46" s="145">
        <f t="shared" si="34"/>
        <v>-1187.5190014867567</v>
      </c>
      <c r="N46" s="145">
        <f t="shared" si="34"/>
        <v>0</v>
      </c>
      <c r="O46" s="145">
        <f t="shared" si="34"/>
        <v>0</v>
      </c>
      <c r="P46" s="145">
        <f t="shared" si="34"/>
        <v>0</v>
      </c>
      <c r="Q46" s="145">
        <f t="shared" si="34"/>
        <v>0</v>
      </c>
      <c r="R46" s="26" t="s">
        <v>705</v>
      </c>
    </row>
    <row r="47" spans="2:18" ht="15" x14ac:dyDescent="0.25">
      <c r="B47" s="135" t="s">
        <v>23</v>
      </c>
      <c r="C47" s="141"/>
      <c r="D47" s="145">
        <f t="shared" ref="D47:Q47" si="35">Forecast_without_63_66_with_xx*Without_63_66_with_xx_composite_value</f>
        <v>0</v>
      </c>
      <c r="E47" s="145">
        <f t="shared" si="35"/>
        <v>0</v>
      </c>
      <c r="F47" s="145">
        <f t="shared" si="35"/>
        <v>0</v>
      </c>
      <c r="G47" s="145">
        <f t="shared" si="35"/>
        <v>0</v>
      </c>
      <c r="H47" s="145">
        <f t="shared" si="35"/>
        <v>0</v>
      </c>
      <c r="I47" s="145">
        <f t="shared" si="35"/>
        <v>33587.297830595759</v>
      </c>
      <c r="J47" s="145">
        <f t="shared" si="35"/>
        <v>2443.1582329764174</v>
      </c>
      <c r="K47" s="145">
        <f t="shared" si="35"/>
        <v>0</v>
      </c>
      <c r="L47" s="145">
        <f t="shared" si="35"/>
        <v>-58407.954801563661</v>
      </c>
      <c r="M47" s="145">
        <f t="shared" si="35"/>
        <v>-3353.9855871033601</v>
      </c>
      <c r="N47" s="145">
        <f t="shared" si="35"/>
        <v>0</v>
      </c>
      <c r="O47" s="145">
        <f t="shared" si="35"/>
        <v>0</v>
      </c>
      <c r="P47" s="145">
        <f t="shared" si="35"/>
        <v>0</v>
      </c>
      <c r="Q47" s="145">
        <f t="shared" si="35"/>
        <v>0</v>
      </c>
      <c r="R47" s="26" t="s">
        <v>706</v>
      </c>
    </row>
    <row r="48" spans="2:18" ht="15" x14ac:dyDescent="0.25">
      <c r="B48" s="135" t="s">
        <v>24</v>
      </c>
      <c r="C48" s="141"/>
      <c r="D48" s="145">
        <f t="shared" ref="D48:Q48" si="36">Forecast_without_66_69_with_xx*Without_66_69_with_xx_composite_value</f>
        <v>0</v>
      </c>
      <c r="E48" s="145">
        <f t="shared" si="36"/>
        <v>0</v>
      </c>
      <c r="F48" s="145">
        <f t="shared" si="36"/>
        <v>0</v>
      </c>
      <c r="G48" s="145">
        <f t="shared" si="36"/>
        <v>0</v>
      </c>
      <c r="H48" s="145">
        <f t="shared" si="36"/>
        <v>0</v>
      </c>
      <c r="I48" s="145">
        <f t="shared" si="36"/>
        <v>0</v>
      </c>
      <c r="J48" s="145">
        <f t="shared" si="36"/>
        <v>0</v>
      </c>
      <c r="K48" s="145">
        <f t="shared" si="36"/>
        <v>25203.43255135966</v>
      </c>
      <c r="L48" s="145">
        <f t="shared" si="36"/>
        <v>0</v>
      </c>
      <c r="M48" s="145">
        <f t="shared" si="36"/>
        <v>-11837.931619507826</v>
      </c>
      <c r="N48" s="145">
        <f t="shared" si="36"/>
        <v>-1836.0288252523364</v>
      </c>
      <c r="O48" s="145">
        <f t="shared" si="36"/>
        <v>0</v>
      </c>
      <c r="P48" s="145">
        <f t="shared" si="36"/>
        <v>0</v>
      </c>
      <c r="Q48" s="145">
        <f t="shared" si="36"/>
        <v>0</v>
      </c>
      <c r="R48" s="26" t="s">
        <v>707</v>
      </c>
    </row>
    <row r="49" spans="2:18" ht="15" x14ac:dyDescent="0.25">
      <c r="B49" s="135" t="s">
        <v>25</v>
      </c>
      <c r="C49" s="141"/>
      <c r="D49" s="145">
        <f t="shared" ref="D49:Q49" si="37">Forecast_without_69_72_with_xx*Without_69_72_with_xx_composite_value</f>
        <v>0</v>
      </c>
      <c r="E49" s="145">
        <f t="shared" si="37"/>
        <v>0</v>
      </c>
      <c r="F49" s="145">
        <f t="shared" si="37"/>
        <v>0</v>
      </c>
      <c r="G49" s="145">
        <f t="shared" si="37"/>
        <v>0</v>
      </c>
      <c r="H49" s="145">
        <f t="shared" si="37"/>
        <v>0</v>
      </c>
      <c r="I49" s="145">
        <f t="shared" si="37"/>
        <v>0</v>
      </c>
      <c r="J49" s="145">
        <f t="shared" si="37"/>
        <v>0</v>
      </c>
      <c r="K49" s="145">
        <f t="shared" si="37"/>
        <v>0</v>
      </c>
      <c r="L49" s="145">
        <f t="shared" si="37"/>
        <v>14907.025002343187</v>
      </c>
      <c r="M49" s="145">
        <f t="shared" si="37"/>
        <v>0</v>
      </c>
      <c r="N49" s="145">
        <f t="shared" si="37"/>
        <v>-17744.182529324167</v>
      </c>
      <c r="O49" s="145">
        <f t="shared" si="37"/>
        <v>0</v>
      </c>
      <c r="P49" s="145">
        <f t="shared" si="37"/>
        <v>0</v>
      </c>
      <c r="Q49" s="145">
        <f t="shared" si="37"/>
        <v>0</v>
      </c>
      <c r="R49" s="26" t="s">
        <v>708</v>
      </c>
    </row>
    <row r="50" spans="2:18" ht="15" x14ac:dyDescent="0.25">
      <c r="B50" s="135" t="s">
        <v>26</v>
      </c>
      <c r="C50" s="141"/>
      <c r="D50" s="145">
        <f t="shared" ref="D50:Q50" si="38">Forecast_without_72_75_with_xx*Without_72_75_with_xx_composite_value</f>
        <v>0</v>
      </c>
      <c r="E50" s="145">
        <f t="shared" si="38"/>
        <v>0</v>
      </c>
      <c r="F50" s="145">
        <f t="shared" si="38"/>
        <v>0</v>
      </c>
      <c r="G50" s="145">
        <f t="shared" si="38"/>
        <v>0</v>
      </c>
      <c r="H50" s="145">
        <f t="shared" si="38"/>
        <v>0</v>
      </c>
      <c r="I50" s="145">
        <f t="shared" si="38"/>
        <v>0</v>
      </c>
      <c r="J50" s="145">
        <f t="shared" si="38"/>
        <v>0</v>
      </c>
      <c r="K50" s="145">
        <f t="shared" si="38"/>
        <v>0</v>
      </c>
      <c r="L50" s="145">
        <f t="shared" si="38"/>
        <v>0</v>
      </c>
      <c r="M50" s="145">
        <f t="shared" si="38"/>
        <v>17744.182529324167</v>
      </c>
      <c r="N50" s="145">
        <f t="shared" si="38"/>
        <v>0</v>
      </c>
      <c r="O50" s="145">
        <f t="shared" si="38"/>
        <v>-3660.461727815441</v>
      </c>
      <c r="P50" s="145">
        <f t="shared" si="38"/>
        <v>-1068.0127553629927</v>
      </c>
      <c r="Q50" s="145">
        <f t="shared" si="38"/>
        <v>0</v>
      </c>
      <c r="R50" s="26" t="s">
        <v>709</v>
      </c>
    </row>
    <row r="51" spans="2:18" ht="15" x14ac:dyDescent="0.25">
      <c r="B51" s="135" t="s">
        <v>27</v>
      </c>
      <c r="C51" s="141"/>
      <c r="D51" s="145">
        <f t="shared" ref="D51:Q51" si="39">Forecast_without_75_78_with_xx*Without_75_78_with_xx_composite_value</f>
        <v>0</v>
      </c>
      <c r="E51" s="145">
        <f t="shared" si="39"/>
        <v>0</v>
      </c>
      <c r="F51" s="145">
        <f t="shared" si="39"/>
        <v>0</v>
      </c>
      <c r="G51" s="145">
        <f t="shared" si="39"/>
        <v>0</v>
      </c>
      <c r="H51" s="145">
        <f t="shared" si="39"/>
        <v>0</v>
      </c>
      <c r="I51" s="145">
        <f t="shared" si="39"/>
        <v>0</v>
      </c>
      <c r="J51" s="145">
        <f t="shared" si="39"/>
        <v>0</v>
      </c>
      <c r="K51" s="145">
        <f t="shared" si="39"/>
        <v>0</v>
      </c>
      <c r="L51" s="145">
        <f t="shared" si="39"/>
        <v>0</v>
      </c>
      <c r="M51" s="145">
        <f t="shared" si="39"/>
        <v>0</v>
      </c>
      <c r="N51" s="145">
        <f t="shared" si="39"/>
        <v>1568.7693119209032</v>
      </c>
      <c r="O51" s="145">
        <f t="shared" si="39"/>
        <v>0</v>
      </c>
      <c r="P51" s="145">
        <f t="shared" si="39"/>
        <v>0</v>
      </c>
      <c r="Q51" s="145">
        <f t="shared" si="39"/>
        <v>0</v>
      </c>
      <c r="R51" s="26" t="s">
        <v>710</v>
      </c>
    </row>
    <row r="52" spans="2:18" ht="15" x14ac:dyDescent="0.25">
      <c r="B52" s="135" t="s">
        <v>28</v>
      </c>
      <c r="C52" s="141"/>
      <c r="D52" s="145">
        <f t="shared" ref="D52:Q52" si="40">Forecast_without_78_81_with_xx*Without_78_81_with_xx_composite_value</f>
        <v>0</v>
      </c>
      <c r="E52" s="145">
        <f t="shared" si="40"/>
        <v>0</v>
      </c>
      <c r="F52" s="145">
        <f t="shared" si="40"/>
        <v>0</v>
      </c>
      <c r="G52" s="145">
        <f t="shared" si="40"/>
        <v>0</v>
      </c>
      <c r="H52" s="145">
        <f t="shared" si="40"/>
        <v>0</v>
      </c>
      <c r="I52" s="145">
        <f t="shared" si="40"/>
        <v>0</v>
      </c>
      <c r="J52" s="145">
        <f t="shared" si="40"/>
        <v>0</v>
      </c>
      <c r="K52" s="145">
        <f t="shared" si="40"/>
        <v>0</v>
      </c>
      <c r="L52" s="145">
        <f t="shared" si="40"/>
        <v>0</v>
      </c>
      <c r="M52" s="145">
        <f t="shared" si="40"/>
        <v>0</v>
      </c>
      <c r="N52" s="145">
        <f t="shared" si="40"/>
        <v>0</v>
      </c>
      <c r="O52" s="145">
        <f t="shared" si="40"/>
        <v>0</v>
      </c>
      <c r="P52" s="145">
        <f t="shared" si="40"/>
        <v>0</v>
      </c>
      <c r="Q52" s="145">
        <f t="shared" si="40"/>
        <v>0</v>
      </c>
      <c r="R52" s="26" t="s">
        <v>711</v>
      </c>
    </row>
    <row r="53" spans="2:18" ht="15" x14ac:dyDescent="0.25">
      <c r="B53" s="135" t="s">
        <v>29</v>
      </c>
      <c r="C53" s="142"/>
      <c r="D53" s="145">
        <f t="shared" ref="D53:Q53" si="41">Forecast_without_81_with_xx*Without_81_with_xx_composite_value</f>
        <v>0</v>
      </c>
      <c r="E53" s="145">
        <f t="shared" si="41"/>
        <v>0</v>
      </c>
      <c r="F53" s="145">
        <f t="shared" si="41"/>
        <v>0</v>
      </c>
      <c r="G53" s="145">
        <f t="shared" si="41"/>
        <v>0</v>
      </c>
      <c r="H53" s="145">
        <f t="shared" si="41"/>
        <v>0</v>
      </c>
      <c r="I53" s="145">
        <f t="shared" si="41"/>
        <v>0</v>
      </c>
      <c r="J53" s="145">
        <f t="shared" si="41"/>
        <v>0</v>
      </c>
      <c r="K53" s="145">
        <f t="shared" si="41"/>
        <v>0</v>
      </c>
      <c r="L53" s="145">
        <f t="shared" si="41"/>
        <v>0</v>
      </c>
      <c r="M53" s="145">
        <f t="shared" si="41"/>
        <v>0</v>
      </c>
      <c r="N53" s="145">
        <f t="shared" si="41"/>
        <v>0</v>
      </c>
      <c r="O53" s="145">
        <f t="shared" si="41"/>
        <v>0</v>
      </c>
      <c r="P53" s="145">
        <f t="shared" si="41"/>
        <v>0</v>
      </c>
      <c r="Q53" s="145">
        <f t="shared" si="41"/>
        <v>0</v>
      </c>
      <c r="R53" s="26" t="s">
        <v>712</v>
      </c>
    </row>
    <row r="54" spans="2:18" ht="15" x14ac:dyDescent="0.25">
      <c r="B54" s="133"/>
      <c r="C54" s="133"/>
      <c r="D54" s="133"/>
      <c r="E54" s="133"/>
      <c r="F54" s="133"/>
      <c r="G54" s="133"/>
      <c r="H54" s="133"/>
      <c r="I54" s="133"/>
      <c r="J54" s="133"/>
      <c r="K54" s="133"/>
      <c r="L54" s="133"/>
      <c r="M54" s="133"/>
      <c r="N54" s="133"/>
      <c r="O54" s="89"/>
      <c r="P54" s="89"/>
      <c r="Q54" s="89"/>
      <c r="R54" s="89"/>
    </row>
    <row r="55" spans="2:18" ht="15" x14ac:dyDescent="0.25">
      <c r="B55" s="143" t="s">
        <v>294</v>
      </c>
      <c r="C55" s="144">
        <f>SUM(Forecast_without_45_with_xx_composite_cost,Forecast_without_45_48_with_xx_composite_cost,Forecast_without_48_51_with_xx_composite_cost,Forecast_without_51_54_with_xx_composite_cost,Forecast_without_54_57_with_xx_composite_cost,Forecast_without_57_60_with_xx_composite_cost,Forecast_without_60_63_with_xx_composite_cost,Forecast_without_63_66_with_xx_composite_cost,Forecast_without_66_69_with_xx_composite_cost,Forecast_without_69_72_with_xx_composite_cost,Forecast_without_72_75_with_xx_composite_cost,Forecast_without_75_78_with_xx_composite_cost,Forecast_without_78_81_with_xx_composite_cost,Forecast_without_81_with_xx_composite_cost)</f>
        <v>-928306.96916087321</v>
      </c>
      <c r="D55" s="30" t="s">
        <v>714</v>
      </c>
      <c r="E55" s="133"/>
      <c r="F55" s="133"/>
      <c r="G55" s="133"/>
      <c r="H55" s="133"/>
      <c r="I55" s="133"/>
      <c r="J55" s="133"/>
      <c r="K55" s="133"/>
      <c r="L55" s="133"/>
      <c r="M55" s="133"/>
      <c r="N55" s="133"/>
      <c r="O55" s="89"/>
      <c r="P55" s="89"/>
      <c r="Q55" s="89"/>
      <c r="R55" s="89"/>
    </row>
    <row r="56" spans="2:18" ht="15" x14ac:dyDescent="0.25">
      <c r="B56" s="133"/>
      <c r="C56" s="133"/>
      <c r="D56" s="30"/>
      <c r="E56" s="133"/>
      <c r="F56" s="133"/>
      <c r="G56" s="133"/>
      <c r="H56" s="133"/>
      <c r="I56" s="133"/>
      <c r="J56" s="133"/>
      <c r="K56" s="133"/>
      <c r="L56" s="133"/>
      <c r="M56" s="133"/>
      <c r="N56" s="133"/>
      <c r="O56" s="89"/>
      <c r="P56" s="89"/>
      <c r="Q56" s="89"/>
      <c r="R56" s="89"/>
    </row>
    <row r="57" spans="2:18" ht="15" x14ac:dyDescent="0.25">
      <c r="B57" s="133" t="s">
        <v>715</v>
      </c>
      <c r="C57" s="144">
        <f>Forecast_year_composite_cost-Opening_year_composite_cost</f>
        <v>115172.84839000029</v>
      </c>
      <c r="D57" s="30" t="s">
        <v>290</v>
      </c>
      <c r="E57" s="133"/>
      <c r="F57" s="133"/>
      <c r="G57" s="133"/>
      <c r="H57" s="133"/>
      <c r="I57" s="133"/>
      <c r="J57" s="133"/>
      <c r="K57" s="133"/>
      <c r="L57" s="133"/>
      <c r="M57" s="133"/>
      <c r="N57" s="133"/>
      <c r="O57" s="89"/>
      <c r="P57" s="89"/>
      <c r="Q57" s="89"/>
      <c r="R57" s="8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69"/>
  <sheetViews>
    <sheetView showGridLines="0" tabSelected="1" topLeftCell="A13" zoomScale="90" zoomScaleNormal="90" workbookViewId="0">
      <selection activeCell="H34" sqref="H34"/>
    </sheetView>
  </sheetViews>
  <sheetFormatPr defaultColWidth="0" defaultRowHeight="15" customHeight="1" zeroHeight="1" x14ac:dyDescent="0.2"/>
  <cols>
    <col min="1" max="1" width="6.28515625" style="37" customWidth="1"/>
    <col min="2" max="2" width="8.85546875" style="37" customWidth="1"/>
    <col min="3" max="3" width="11.85546875" style="37" customWidth="1"/>
    <col min="4" max="4" width="17.140625" style="37" customWidth="1"/>
    <col min="5" max="5" width="17.28515625" style="37" customWidth="1"/>
    <col min="6" max="7" width="22.85546875" style="38" customWidth="1"/>
    <col min="8" max="8" width="17.28515625" style="38" customWidth="1"/>
    <col min="9" max="9" width="6.28515625" style="38" customWidth="1"/>
    <col min="10" max="12" width="17.5703125" style="37" hidden="1" customWidth="1"/>
    <col min="13" max="13" width="6.140625" style="38" hidden="1" customWidth="1"/>
    <col min="14" max="14" width="15.5703125" style="37" hidden="1" customWidth="1"/>
    <col min="15" max="256" width="9.140625" style="37" hidden="1" customWidth="1"/>
    <col min="257" max="257" width="8.85546875" style="37" hidden="1" customWidth="1"/>
    <col min="258" max="258" width="11.85546875" style="37" hidden="1" customWidth="1"/>
    <col min="259" max="260" width="17.5703125" style="37" hidden="1" customWidth="1"/>
    <col min="261" max="261" width="12.42578125" style="37" hidden="1" customWidth="1"/>
    <col min="262" max="262" width="11.140625" style="37" hidden="1" customWidth="1"/>
    <col min="263" max="263" width="18.42578125" style="37" hidden="1" customWidth="1"/>
    <col min="264" max="268" width="17.5703125" style="37" hidden="1" customWidth="1"/>
    <col min="269" max="269" width="6.140625" style="37" hidden="1" customWidth="1"/>
    <col min="270" max="270" width="15.5703125" style="37" hidden="1" customWidth="1"/>
    <col min="271" max="512" width="9.140625" style="37" hidden="1" customWidth="1"/>
    <col min="513" max="513" width="8.85546875" style="37" hidden="1" customWidth="1"/>
    <col min="514" max="514" width="11.85546875" style="37" hidden="1" customWidth="1"/>
    <col min="515" max="516" width="17.5703125" style="37" hidden="1" customWidth="1"/>
    <col min="517" max="517" width="12.42578125" style="37" hidden="1" customWidth="1"/>
    <col min="518" max="518" width="11.140625" style="37" hidden="1" customWidth="1"/>
    <col min="519" max="519" width="18.42578125" style="37" hidden="1" customWidth="1"/>
    <col min="520" max="524" width="17.5703125" style="37" hidden="1" customWidth="1"/>
    <col min="525" max="525" width="6.140625" style="37" hidden="1" customWidth="1"/>
    <col min="526" max="526" width="15.5703125" style="37" hidden="1" customWidth="1"/>
    <col min="527" max="768" width="9.140625" style="37" hidden="1" customWidth="1"/>
    <col min="769" max="769" width="8.85546875" style="37" hidden="1" customWidth="1"/>
    <col min="770" max="770" width="11.85546875" style="37" hidden="1" customWidth="1"/>
    <col min="771" max="772" width="17.5703125" style="37" hidden="1" customWidth="1"/>
    <col min="773" max="773" width="12.42578125" style="37" hidden="1" customWidth="1"/>
    <col min="774" max="774" width="11.140625" style="37" hidden="1" customWidth="1"/>
    <col min="775" max="775" width="18.42578125" style="37" hidden="1" customWidth="1"/>
    <col min="776" max="780" width="17.5703125" style="37" hidden="1" customWidth="1"/>
    <col min="781" max="781" width="6.140625" style="37" hidden="1" customWidth="1"/>
    <col min="782" max="782" width="15.5703125" style="37" hidden="1" customWidth="1"/>
    <col min="783" max="1024" width="9.140625" style="37" hidden="1"/>
    <col min="1025" max="1025" width="8.85546875" style="37" hidden="1" customWidth="1"/>
    <col min="1026" max="1026" width="11.85546875" style="37" hidden="1" customWidth="1"/>
    <col min="1027" max="1028" width="17.5703125" style="37" hidden="1" customWidth="1"/>
    <col min="1029" max="1029" width="12.42578125" style="37" hidden="1" customWidth="1"/>
    <col min="1030" max="1030" width="11.140625" style="37" hidden="1" customWidth="1"/>
    <col min="1031" max="1031" width="18.42578125" style="37" hidden="1" customWidth="1"/>
    <col min="1032" max="1036" width="17.5703125" style="37" hidden="1" customWidth="1"/>
    <col min="1037" max="1037" width="6.140625" style="37" hidden="1" customWidth="1"/>
    <col min="1038" max="1038" width="15.5703125" style="37" hidden="1" customWidth="1"/>
    <col min="1039" max="1280" width="9.140625" style="37" hidden="1" customWidth="1"/>
    <col min="1281" max="1281" width="8.85546875" style="37" hidden="1" customWidth="1"/>
    <col min="1282" max="1282" width="11.85546875" style="37" hidden="1" customWidth="1"/>
    <col min="1283" max="1284" width="17.5703125" style="37" hidden="1" customWidth="1"/>
    <col min="1285" max="1285" width="12.42578125" style="37" hidden="1" customWidth="1"/>
    <col min="1286" max="1286" width="11.140625" style="37" hidden="1" customWidth="1"/>
    <col min="1287" max="1287" width="18.42578125" style="37" hidden="1" customWidth="1"/>
    <col min="1288" max="1292" width="17.5703125" style="37" hidden="1" customWidth="1"/>
    <col min="1293" max="1293" width="6.140625" style="37" hidden="1" customWidth="1"/>
    <col min="1294" max="1294" width="15.5703125" style="37" hidden="1" customWidth="1"/>
    <col min="1295" max="1536" width="9.140625" style="37" hidden="1" customWidth="1"/>
    <col min="1537" max="1537" width="8.85546875" style="37" hidden="1" customWidth="1"/>
    <col min="1538" max="1538" width="11.85546875" style="37" hidden="1" customWidth="1"/>
    <col min="1539" max="1540" width="17.5703125" style="37" hidden="1" customWidth="1"/>
    <col min="1541" max="1541" width="12.42578125" style="37" hidden="1" customWidth="1"/>
    <col min="1542" max="1542" width="11.140625" style="37" hidden="1" customWidth="1"/>
    <col min="1543" max="1543" width="18.42578125" style="37" hidden="1" customWidth="1"/>
    <col min="1544" max="1548" width="17.5703125" style="37" hidden="1" customWidth="1"/>
    <col min="1549" max="1549" width="6.140625" style="37" hidden="1" customWidth="1"/>
    <col min="1550" max="1550" width="15.5703125" style="37" hidden="1" customWidth="1"/>
    <col min="1551" max="1792" width="9.140625" style="37" hidden="1" customWidth="1"/>
    <col min="1793" max="1793" width="8.85546875" style="37" hidden="1" customWidth="1"/>
    <col min="1794" max="1794" width="11.85546875" style="37" hidden="1" customWidth="1"/>
    <col min="1795" max="1796" width="17.5703125" style="37" hidden="1" customWidth="1"/>
    <col min="1797" max="1797" width="12.42578125" style="37" hidden="1" customWidth="1"/>
    <col min="1798" max="1798" width="11.140625" style="37" hidden="1" customWidth="1"/>
    <col min="1799" max="1799" width="18.42578125" style="37" hidden="1" customWidth="1"/>
    <col min="1800" max="1804" width="17.5703125" style="37" hidden="1" customWidth="1"/>
    <col min="1805" max="1805" width="6.140625" style="37" hidden="1" customWidth="1"/>
    <col min="1806" max="1806" width="15.5703125" style="37" hidden="1" customWidth="1"/>
    <col min="1807" max="2048" width="9.140625" style="37" hidden="1"/>
    <col min="2049" max="2049" width="8.85546875" style="37" hidden="1" customWidth="1"/>
    <col min="2050" max="2050" width="11.85546875" style="37" hidden="1" customWidth="1"/>
    <col min="2051" max="2052" width="17.5703125" style="37" hidden="1" customWidth="1"/>
    <col min="2053" max="2053" width="12.42578125" style="37" hidden="1" customWidth="1"/>
    <col min="2054" max="2054" width="11.140625" style="37" hidden="1" customWidth="1"/>
    <col min="2055" max="2055" width="18.42578125" style="37" hidden="1" customWidth="1"/>
    <col min="2056" max="2060" width="17.5703125" style="37" hidden="1" customWidth="1"/>
    <col min="2061" max="2061" width="6.140625" style="37" hidden="1" customWidth="1"/>
    <col min="2062" max="2062" width="15.5703125" style="37" hidden="1" customWidth="1"/>
    <col min="2063" max="2304" width="9.140625" style="37" hidden="1" customWidth="1"/>
    <col min="2305" max="2305" width="8.85546875" style="37" hidden="1" customWidth="1"/>
    <col min="2306" max="2306" width="11.85546875" style="37" hidden="1" customWidth="1"/>
    <col min="2307" max="2308" width="17.5703125" style="37" hidden="1" customWidth="1"/>
    <col min="2309" max="2309" width="12.42578125" style="37" hidden="1" customWidth="1"/>
    <col min="2310" max="2310" width="11.140625" style="37" hidden="1" customWidth="1"/>
    <col min="2311" max="2311" width="18.42578125" style="37" hidden="1" customWidth="1"/>
    <col min="2312" max="2316" width="17.5703125" style="37" hidden="1" customWidth="1"/>
    <col min="2317" max="2317" width="6.140625" style="37" hidden="1" customWidth="1"/>
    <col min="2318" max="2318" width="15.5703125" style="37" hidden="1" customWidth="1"/>
    <col min="2319" max="2560" width="9.140625" style="37" hidden="1" customWidth="1"/>
    <col min="2561" max="2561" width="8.85546875" style="37" hidden="1" customWidth="1"/>
    <col min="2562" max="2562" width="11.85546875" style="37" hidden="1" customWidth="1"/>
    <col min="2563" max="2564" width="17.5703125" style="37" hidden="1" customWidth="1"/>
    <col min="2565" max="2565" width="12.42578125" style="37" hidden="1" customWidth="1"/>
    <col min="2566" max="2566" width="11.140625" style="37" hidden="1" customWidth="1"/>
    <col min="2567" max="2567" width="18.42578125" style="37" hidden="1" customWidth="1"/>
    <col min="2568" max="2572" width="17.5703125" style="37" hidden="1" customWidth="1"/>
    <col min="2573" max="2573" width="6.140625" style="37" hidden="1" customWidth="1"/>
    <col min="2574" max="2574" width="15.5703125" style="37" hidden="1" customWidth="1"/>
    <col min="2575" max="2816" width="9.140625" style="37" hidden="1" customWidth="1"/>
    <col min="2817" max="2817" width="8.85546875" style="37" hidden="1" customWidth="1"/>
    <col min="2818" max="2818" width="11.85546875" style="37" hidden="1" customWidth="1"/>
    <col min="2819" max="2820" width="17.5703125" style="37" hidden="1" customWidth="1"/>
    <col min="2821" max="2821" width="12.42578125" style="37" hidden="1" customWidth="1"/>
    <col min="2822" max="2822" width="11.140625" style="37" hidden="1" customWidth="1"/>
    <col min="2823" max="2823" width="18.42578125" style="37" hidden="1" customWidth="1"/>
    <col min="2824" max="2828" width="17.5703125" style="37" hidden="1" customWidth="1"/>
    <col min="2829" max="2829" width="6.140625" style="37" hidden="1" customWidth="1"/>
    <col min="2830" max="2830" width="15.5703125" style="37" hidden="1" customWidth="1"/>
    <col min="2831" max="3072" width="9.140625" style="37" hidden="1"/>
    <col min="3073" max="3073" width="8.85546875" style="37" hidden="1" customWidth="1"/>
    <col min="3074" max="3074" width="11.85546875" style="37" hidden="1" customWidth="1"/>
    <col min="3075" max="3076" width="17.5703125" style="37" hidden="1" customWidth="1"/>
    <col min="3077" max="3077" width="12.42578125" style="37" hidden="1" customWidth="1"/>
    <col min="3078" max="3078" width="11.140625" style="37" hidden="1" customWidth="1"/>
    <col min="3079" max="3079" width="18.42578125" style="37" hidden="1" customWidth="1"/>
    <col min="3080" max="3084" width="17.5703125" style="37" hidden="1" customWidth="1"/>
    <col min="3085" max="3085" width="6.140625" style="37" hidden="1" customWidth="1"/>
    <col min="3086" max="3086" width="15.5703125" style="37" hidden="1" customWidth="1"/>
    <col min="3087" max="3328" width="9.140625" style="37" hidden="1" customWidth="1"/>
    <col min="3329" max="3329" width="8.85546875" style="37" hidden="1" customWidth="1"/>
    <col min="3330" max="3330" width="11.85546875" style="37" hidden="1" customWidth="1"/>
    <col min="3331" max="3332" width="17.5703125" style="37" hidden="1" customWidth="1"/>
    <col min="3333" max="3333" width="12.42578125" style="37" hidden="1" customWidth="1"/>
    <col min="3334" max="3334" width="11.140625" style="37" hidden="1" customWidth="1"/>
    <col min="3335" max="3335" width="18.42578125" style="37" hidden="1" customWidth="1"/>
    <col min="3336" max="3340" width="17.5703125" style="37" hidden="1" customWidth="1"/>
    <col min="3341" max="3341" width="6.140625" style="37" hidden="1" customWidth="1"/>
    <col min="3342" max="3342" width="15.5703125" style="37" hidden="1" customWidth="1"/>
    <col min="3343" max="3584" width="9.140625" style="37" hidden="1" customWidth="1"/>
    <col min="3585" max="3585" width="8.85546875" style="37" hidden="1" customWidth="1"/>
    <col min="3586" max="3586" width="11.85546875" style="37" hidden="1" customWidth="1"/>
    <col min="3587" max="3588" width="17.5703125" style="37" hidden="1" customWidth="1"/>
    <col min="3589" max="3589" width="12.42578125" style="37" hidden="1" customWidth="1"/>
    <col min="3590" max="3590" width="11.140625" style="37" hidden="1" customWidth="1"/>
    <col min="3591" max="3591" width="18.42578125" style="37" hidden="1" customWidth="1"/>
    <col min="3592" max="3596" width="17.5703125" style="37" hidden="1" customWidth="1"/>
    <col min="3597" max="3597" width="6.140625" style="37" hidden="1" customWidth="1"/>
    <col min="3598" max="3598" width="15.5703125" style="37" hidden="1" customWidth="1"/>
    <col min="3599" max="3840" width="9.140625" style="37" hidden="1" customWidth="1"/>
    <col min="3841" max="3841" width="8.85546875" style="37" hidden="1" customWidth="1"/>
    <col min="3842" max="3842" width="11.85546875" style="37" hidden="1" customWidth="1"/>
    <col min="3843" max="3844" width="17.5703125" style="37" hidden="1" customWidth="1"/>
    <col min="3845" max="3845" width="12.42578125" style="37" hidden="1" customWidth="1"/>
    <col min="3846" max="3846" width="11.140625" style="37" hidden="1" customWidth="1"/>
    <col min="3847" max="3847" width="18.42578125" style="37" hidden="1" customWidth="1"/>
    <col min="3848" max="3852" width="17.5703125" style="37" hidden="1" customWidth="1"/>
    <col min="3853" max="3853" width="6.140625" style="37" hidden="1" customWidth="1"/>
    <col min="3854" max="3854" width="15.5703125" style="37" hidden="1" customWidth="1"/>
    <col min="3855" max="4096" width="9.140625" style="37" hidden="1"/>
    <col min="4097" max="4097" width="8.85546875" style="37" hidden="1" customWidth="1"/>
    <col min="4098" max="4098" width="11.85546875" style="37" hidden="1" customWidth="1"/>
    <col min="4099" max="4100" width="17.5703125" style="37" hidden="1" customWidth="1"/>
    <col min="4101" max="4101" width="12.42578125" style="37" hidden="1" customWidth="1"/>
    <col min="4102" max="4102" width="11.140625" style="37" hidden="1" customWidth="1"/>
    <col min="4103" max="4103" width="18.42578125" style="37" hidden="1" customWidth="1"/>
    <col min="4104" max="4108" width="17.5703125" style="37" hidden="1" customWidth="1"/>
    <col min="4109" max="4109" width="6.140625" style="37" hidden="1" customWidth="1"/>
    <col min="4110" max="4110" width="15.5703125" style="37" hidden="1" customWidth="1"/>
    <col min="4111" max="4352" width="9.140625" style="37" hidden="1" customWidth="1"/>
    <col min="4353" max="4353" width="8.85546875" style="37" hidden="1" customWidth="1"/>
    <col min="4354" max="4354" width="11.85546875" style="37" hidden="1" customWidth="1"/>
    <col min="4355" max="4356" width="17.5703125" style="37" hidden="1" customWidth="1"/>
    <col min="4357" max="4357" width="12.42578125" style="37" hidden="1" customWidth="1"/>
    <col min="4358" max="4358" width="11.140625" style="37" hidden="1" customWidth="1"/>
    <col min="4359" max="4359" width="18.42578125" style="37" hidden="1" customWidth="1"/>
    <col min="4360" max="4364" width="17.5703125" style="37" hidden="1" customWidth="1"/>
    <col min="4365" max="4365" width="6.140625" style="37" hidden="1" customWidth="1"/>
    <col min="4366" max="4366" width="15.5703125" style="37" hidden="1" customWidth="1"/>
    <col min="4367" max="4608" width="9.140625" style="37" hidden="1" customWidth="1"/>
    <col min="4609" max="4609" width="8.85546875" style="37" hidden="1" customWidth="1"/>
    <col min="4610" max="4610" width="11.85546875" style="37" hidden="1" customWidth="1"/>
    <col min="4611" max="4612" width="17.5703125" style="37" hidden="1" customWidth="1"/>
    <col min="4613" max="4613" width="12.42578125" style="37" hidden="1" customWidth="1"/>
    <col min="4614" max="4614" width="11.140625" style="37" hidden="1" customWidth="1"/>
    <col min="4615" max="4615" width="18.42578125" style="37" hidden="1" customWidth="1"/>
    <col min="4616" max="4620" width="17.5703125" style="37" hidden="1" customWidth="1"/>
    <col min="4621" max="4621" width="6.140625" style="37" hidden="1" customWidth="1"/>
    <col min="4622" max="4622" width="15.5703125" style="37" hidden="1" customWidth="1"/>
    <col min="4623" max="4864" width="9.140625" style="37" hidden="1" customWidth="1"/>
    <col min="4865" max="4865" width="8.85546875" style="37" hidden="1" customWidth="1"/>
    <col min="4866" max="4866" width="11.85546875" style="37" hidden="1" customWidth="1"/>
    <col min="4867" max="4868" width="17.5703125" style="37" hidden="1" customWidth="1"/>
    <col min="4869" max="4869" width="12.42578125" style="37" hidden="1" customWidth="1"/>
    <col min="4870" max="4870" width="11.140625" style="37" hidden="1" customWidth="1"/>
    <col min="4871" max="4871" width="18.42578125" style="37" hidden="1" customWidth="1"/>
    <col min="4872" max="4876" width="17.5703125" style="37" hidden="1" customWidth="1"/>
    <col min="4877" max="4877" width="6.140625" style="37" hidden="1" customWidth="1"/>
    <col min="4878" max="4878" width="15.5703125" style="37" hidden="1" customWidth="1"/>
    <col min="4879" max="5120" width="9.140625" style="37" hidden="1"/>
    <col min="5121" max="5121" width="8.85546875" style="37" hidden="1" customWidth="1"/>
    <col min="5122" max="5122" width="11.85546875" style="37" hidden="1" customWidth="1"/>
    <col min="5123" max="5124" width="17.5703125" style="37" hidden="1" customWidth="1"/>
    <col min="5125" max="5125" width="12.42578125" style="37" hidden="1" customWidth="1"/>
    <col min="5126" max="5126" width="11.140625" style="37" hidden="1" customWidth="1"/>
    <col min="5127" max="5127" width="18.42578125" style="37" hidden="1" customWidth="1"/>
    <col min="5128" max="5132" width="17.5703125" style="37" hidden="1" customWidth="1"/>
    <col min="5133" max="5133" width="6.140625" style="37" hidden="1" customWidth="1"/>
    <col min="5134" max="5134" width="15.5703125" style="37" hidden="1" customWidth="1"/>
    <col min="5135" max="5376" width="9.140625" style="37" hidden="1" customWidth="1"/>
    <col min="5377" max="5377" width="8.85546875" style="37" hidden="1" customWidth="1"/>
    <col min="5378" max="5378" width="11.85546875" style="37" hidden="1" customWidth="1"/>
    <col min="5379" max="5380" width="17.5703125" style="37" hidden="1" customWidth="1"/>
    <col min="5381" max="5381" width="12.42578125" style="37" hidden="1" customWidth="1"/>
    <col min="5382" max="5382" width="11.140625" style="37" hidden="1" customWidth="1"/>
    <col min="5383" max="5383" width="18.42578125" style="37" hidden="1" customWidth="1"/>
    <col min="5384" max="5388" width="17.5703125" style="37" hidden="1" customWidth="1"/>
    <col min="5389" max="5389" width="6.140625" style="37" hidden="1" customWidth="1"/>
    <col min="5390" max="5390" width="15.5703125" style="37" hidden="1" customWidth="1"/>
    <col min="5391" max="5632" width="9.140625" style="37" hidden="1" customWidth="1"/>
    <col min="5633" max="5633" width="8.85546875" style="37" hidden="1" customWidth="1"/>
    <col min="5634" max="5634" width="11.85546875" style="37" hidden="1" customWidth="1"/>
    <col min="5635" max="5636" width="17.5703125" style="37" hidden="1" customWidth="1"/>
    <col min="5637" max="5637" width="12.42578125" style="37" hidden="1" customWidth="1"/>
    <col min="5638" max="5638" width="11.140625" style="37" hidden="1" customWidth="1"/>
    <col min="5639" max="5639" width="18.42578125" style="37" hidden="1" customWidth="1"/>
    <col min="5640" max="5644" width="17.5703125" style="37" hidden="1" customWidth="1"/>
    <col min="5645" max="5645" width="6.140625" style="37" hidden="1" customWidth="1"/>
    <col min="5646" max="5646" width="15.5703125" style="37" hidden="1" customWidth="1"/>
    <col min="5647" max="5888" width="9.140625" style="37" hidden="1" customWidth="1"/>
    <col min="5889" max="5889" width="8.85546875" style="37" hidden="1" customWidth="1"/>
    <col min="5890" max="5890" width="11.85546875" style="37" hidden="1" customWidth="1"/>
    <col min="5891" max="5892" width="17.5703125" style="37" hidden="1" customWidth="1"/>
    <col min="5893" max="5893" width="12.42578125" style="37" hidden="1" customWidth="1"/>
    <col min="5894" max="5894" width="11.140625" style="37" hidden="1" customWidth="1"/>
    <col min="5895" max="5895" width="18.42578125" style="37" hidden="1" customWidth="1"/>
    <col min="5896" max="5900" width="17.5703125" style="37" hidden="1" customWidth="1"/>
    <col min="5901" max="5901" width="6.140625" style="37" hidden="1" customWidth="1"/>
    <col min="5902" max="5902" width="15.5703125" style="37" hidden="1" customWidth="1"/>
    <col min="5903" max="6144" width="9.140625" style="37" hidden="1"/>
    <col min="6145" max="6145" width="8.85546875" style="37" hidden="1" customWidth="1"/>
    <col min="6146" max="6146" width="11.85546875" style="37" hidden="1" customWidth="1"/>
    <col min="6147" max="6148" width="17.5703125" style="37" hidden="1" customWidth="1"/>
    <col min="6149" max="6149" width="12.42578125" style="37" hidden="1" customWidth="1"/>
    <col min="6150" max="6150" width="11.140625" style="37" hidden="1" customWidth="1"/>
    <col min="6151" max="6151" width="18.42578125" style="37" hidden="1" customWidth="1"/>
    <col min="6152" max="6156" width="17.5703125" style="37" hidden="1" customWidth="1"/>
    <col min="6157" max="6157" width="6.140625" style="37" hidden="1" customWidth="1"/>
    <col min="6158" max="6158" width="15.5703125" style="37" hidden="1" customWidth="1"/>
    <col min="6159" max="6400" width="9.140625" style="37" hidden="1" customWidth="1"/>
    <col min="6401" max="6401" width="8.85546875" style="37" hidden="1" customWidth="1"/>
    <col min="6402" max="6402" width="11.85546875" style="37" hidden="1" customWidth="1"/>
    <col min="6403" max="6404" width="17.5703125" style="37" hidden="1" customWidth="1"/>
    <col min="6405" max="6405" width="12.42578125" style="37" hidden="1" customWidth="1"/>
    <col min="6406" max="6406" width="11.140625" style="37" hidden="1" customWidth="1"/>
    <col min="6407" max="6407" width="18.42578125" style="37" hidden="1" customWidth="1"/>
    <col min="6408" max="6412" width="17.5703125" style="37" hidden="1" customWidth="1"/>
    <col min="6413" max="6413" width="6.140625" style="37" hidden="1" customWidth="1"/>
    <col min="6414" max="6414" width="15.5703125" style="37" hidden="1" customWidth="1"/>
    <col min="6415" max="6656" width="9.140625" style="37" hidden="1" customWidth="1"/>
    <col min="6657" max="6657" width="8.85546875" style="37" hidden="1" customWidth="1"/>
    <col min="6658" max="6658" width="11.85546875" style="37" hidden="1" customWidth="1"/>
    <col min="6659" max="6660" width="17.5703125" style="37" hidden="1" customWidth="1"/>
    <col min="6661" max="6661" width="12.42578125" style="37" hidden="1" customWidth="1"/>
    <col min="6662" max="6662" width="11.140625" style="37" hidden="1" customWidth="1"/>
    <col min="6663" max="6663" width="18.42578125" style="37" hidden="1" customWidth="1"/>
    <col min="6664" max="6668" width="17.5703125" style="37" hidden="1" customWidth="1"/>
    <col min="6669" max="6669" width="6.140625" style="37" hidden="1" customWidth="1"/>
    <col min="6670" max="6670" width="15.5703125" style="37" hidden="1" customWidth="1"/>
    <col min="6671" max="6912" width="9.140625" style="37" hidden="1" customWidth="1"/>
    <col min="6913" max="6913" width="8.85546875" style="37" hidden="1" customWidth="1"/>
    <col min="6914" max="6914" width="11.85546875" style="37" hidden="1" customWidth="1"/>
    <col min="6915" max="6916" width="17.5703125" style="37" hidden="1" customWidth="1"/>
    <col min="6917" max="6917" width="12.42578125" style="37" hidden="1" customWidth="1"/>
    <col min="6918" max="6918" width="11.140625" style="37" hidden="1" customWidth="1"/>
    <col min="6919" max="6919" width="18.42578125" style="37" hidden="1" customWidth="1"/>
    <col min="6920" max="6924" width="17.5703125" style="37" hidden="1" customWidth="1"/>
    <col min="6925" max="6925" width="6.140625" style="37" hidden="1" customWidth="1"/>
    <col min="6926" max="6926" width="15.5703125" style="37" hidden="1" customWidth="1"/>
    <col min="6927" max="7168" width="9.140625" style="37" hidden="1"/>
    <col min="7169" max="7169" width="8.85546875" style="37" hidden="1" customWidth="1"/>
    <col min="7170" max="7170" width="11.85546875" style="37" hidden="1" customWidth="1"/>
    <col min="7171" max="7172" width="17.5703125" style="37" hidden="1" customWidth="1"/>
    <col min="7173" max="7173" width="12.42578125" style="37" hidden="1" customWidth="1"/>
    <col min="7174" max="7174" width="11.140625" style="37" hidden="1" customWidth="1"/>
    <col min="7175" max="7175" width="18.42578125" style="37" hidden="1" customWidth="1"/>
    <col min="7176" max="7180" width="17.5703125" style="37" hidden="1" customWidth="1"/>
    <col min="7181" max="7181" width="6.140625" style="37" hidden="1" customWidth="1"/>
    <col min="7182" max="7182" width="15.5703125" style="37" hidden="1" customWidth="1"/>
    <col min="7183" max="7424" width="9.140625" style="37" hidden="1" customWidth="1"/>
    <col min="7425" max="7425" width="8.85546875" style="37" hidden="1" customWidth="1"/>
    <col min="7426" max="7426" width="11.85546875" style="37" hidden="1" customWidth="1"/>
    <col min="7427" max="7428" width="17.5703125" style="37" hidden="1" customWidth="1"/>
    <col min="7429" max="7429" width="12.42578125" style="37" hidden="1" customWidth="1"/>
    <col min="7430" max="7430" width="11.140625" style="37" hidden="1" customWidth="1"/>
    <col min="7431" max="7431" width="18.42578125" style="37" hidden="1" customWidth="1"/>
    <col min="7432" max="7436" width="17.5703125" style="37" hidden="1" customWidth="1"/>
    <col min="7437" max="7437" width="6.140625" style="37" hidden="1" customWidth="1"/>
    <col min="7438" max="7438" width="15.5703125" style="37" hidden="1" customWidth="1"/>
    <col min="7439" max="7680" width="9.140625" style="37" hidden="1" customWidth="1"/>
    <col min="7681" max="7681" width="8.85546875" style="37" hidden="1" customWidth="1"/>
    <col min="7682" max="7682" width="11.85546875" style="37" hidden="1" customWidth="1"/>
    <col min="7683" max="7684" width="17.5703125" style="37" hidden="1" customWidth="1"/>
    <col min="7685" max="7685" width="12.42578125" style="37" hidden="1" customWidth="1"/>
    <col min="7686" max="7686" width="11.140625" style="37" hidden="1" customWidth="1"/>
    <col min="7687" max="7687" width="18.42578125" style="37" hidden="1" customWidth="1"/>
    <col min="7688" max="7692" width="17.5703125" style="37" hidden="1" customWidth="1"/>
    <col min="7693" max="7693" width="6.140625" style="37" hidden="1" customWidth="1"/>
    <col min="7694" max="7694" width="15.5703125" style="37" hidden="1" customWidth="1"/>
    <col min="7695" max="7936" width="9.140625" style="37" hidden="1" customWidth="1"/>
    <col min="7937" max="7937" width="8.85546875" style="37" hidden="1" customWidth="1"/>
    <col min="7938" max="7938" width="11.85546875" style="37" hidden="1" customWidth="1"/>
    <col min="7939" max="7940" width="17.5703125" style="37" hidden="1" customWidth="1"/>
    <col min="7941" max="7941" width="12.42578125" style="37" hidden="1" customWidth="1"/>
    <col min="7942" max="7942" width="11.140625" style="37" hidden="1" customWidth="1"/>
    <col min="7943" max="7943" width="18.42578125" style="37" hidden="1" customWidth="1"/>
    <col min="7944" max="7948" width="17.5703125" style="37" hidden="1" customWidth="1"/>
    <col min="7949" max="7949" width="6.140625" style="37" hidden="1" customWidth="1"/>
    <col min="7950" max="7950" width="15.5703125" style="37" hidden="1" customWidth="1"/>
    <col min="7951" max="8192" width="9.140625" style="37" hidden="1"/>
    <col min="8193" max="8193" width="8.85546875" style="37" hidden="1" customWidth="1"/>
    <col min="8194" max="8194" width="11.85546875" style="37" hidden="1" customWidth="1"/>
    <col min="8195" max="8196" width="17.5703125" style="37" hidden="1" customWidth="1"/>
    <col min="8197" max="8197" width="12.42578125" style="37" hidden="1" customWidth="1"/>
    <col min="8198" max="8198" width="11.140625" style="37" hidden="1" customWidth="1"/>
    <col min="8199" max="8199" width="18.42578125" style="37" hidden="1" customWidth="1"/>
    <col min="8200" max="8204" width="17.5703125" style="37" hidden="1" customWidth="1"/>
    <col min="8205" max="8205" width="6.140625" style="37" hidden="1" customWidth="1"/>
    <col min="8206" max="8206" width="15.5703125" style="37" hidden="1" customWidth="1"/>
    <col min="8207" max="8448" width="9.140625" style="37" hidden="1" customWidth="1"/>
    <col min="8449" max="8449" width="8.85546875" style="37" hidden="1" customWidth="1"/>
    <col min="8450" max="8450" width="11.85546875" style="37" hidden="1" customWidth="1"/>
    <col min="8451" max="8452" width="17.5703125" style="37" hidden="1" customWidth="1"/>
    <col min="8453" max="8453" width="12.42578125" style="37" hidden="1" customWidth="1"/>
    <col min="8454" max="8454" width="11.140625" style="37" hidden="1" customWidth="1"/>
    <col min="8455" max="8455" width="18.42578125" style="37" hidden="1" customWidth="1"/>
    <col min="8456" max="8460" width="17.5703125" style="37" hidden="1" customWidth="1"/>
    <col min="8461" max="8461" width="6.140625" style="37" hidden="1" customWidth="1"/>
    <col min="8462" max="8462" width="15.5703125" style="37" hidden="1" customWidth="1"/>
    <col min="8463" max="8704" width="9.140625" style="37" hidden="1" customWidth="1"/>
    <col min="8705" max="8705" width="8.85546875" style="37" hidden="1" customWidth="1"/>
    <col min="8706" max="8706" width="11.85546875" style="37" hidden="1" customWidth="1"/>
    <col min="8707" max="8708" width="17.5703125" style="37" hidden="1" customWidth="1"/>
    <col min="8709" max="8709" width="12.42578125" style="37" hidden="1" customWidth="1"/>
    <col min="8710" max="8710" width="11.140625" style="37" hidden="1" customWidth="1"/>
    <col min="8711" max="8711" width="18.42578125" style="37" hidden="1" customWidth="1"/>
    <col min="8712" max="8716" width="17.5703125" style="37" hidden="1" customWidth="1"/>
    <col min="8717" max="8717" width="6.140625" style="37" hidden="1" customWidth="1"/>
    <col min="8718" max="8718" width="15.5703125" style="37" hidden="1" customWidth="1"/>
    <col min="8719" max="8960" width="9.140625" style="37" hidden="1" customWidth="1"/>
    <col min="8961" max="8961" width="8.85546875" style="37" hidden="1" customWidth="1"/>
    <col min="8962" max="8962" width="11.85546875" style="37" hidden="1" customWidth="1"/>
    <col min="8963" max="8964" width="17.5703125" style="37" hidden="1" customWidth="1"/>
    <col min="8965" max="8965" width="12.42578125" style="37" hidden="1" customWidth="1"/>
    <col min="8966" max="8966" width="11.140625" style="37" hidden="1" customWidth="1"/>
    <col min="8967" max="8967" width="18.42578125" style="37" hidden="1" customWidth="1"/>
    <col min="8968" max="8972" width="17.5703125" style="37" hidden="1" customWidth="1"/>
    <col min="8973" max="8973" width="6.140625" style="37" hidden="1" customWidth="1"/>
    <col min="8974" max="8974" width="15.5703125" style="37" hidden="1" customWidth="1"/>
    <col min="8975" max="9216" width="9.140625" style="37" hidden="1"/>
    <col min="9217" max="9217" width="8.85546875" style="37" hidden="1" customWidth="1"/>
    <col min="9218" max="9218" width="11.85546875" style="37" hidden="1" customWidth="1"/>
    <col min="9219" max="9220" width="17.5703125" style="37" hidden="1" customWidth="1"/>
    <col min="9221" max="9221" width="12.42578125" style="37" hidden="1" customWidth="1"/>
    <col min="9222" max="9222" width="11.140625" style="37" hidden="1" customWidth="1"/>
    <col min="9223" max="9223" width="18.42578125" style="37" hidden="1" customWidth="1"/>
    <col min="9224" max="9228" width="17.5703125" style="37" hidden="1" customWidth="1"/>
    <col min="9229" max="9229" width="6.140625" style="37" hidden="1" customWidth="1"/>
    <col min="9230" max="9230" width="15.5703125" style="37" hidden="1" customWidth="1"/>
    <col min="9231" max="9472" width="9.140625" style="37" hidden="1" customWidth="1"/>
    <col min="9473" max="9473" width="8.85546875" style="37" hidden="1" customWidth="1"/>
    <col min="9474" max="9474" width="11.85546875" style="37" hidden="1" customWidth="1"/>
    <col min="9475" max="9476" width="17.5703125" style="37" hidden="1" customWidth="1"/>
    <col min="9477" max="9477" width="12.42578125" style="37" hidden="1" customWidth="1"/>
    <col min="9478" max="9478" width="11.140625" style="37" hidden="1" customWidth="1"/>
    <col min="9479" max="9479" width="18.42578125" style="37" hidden="1" customWidth="1"/>
    <col min="9480" max="9484" width="17.5703125" style="37" hidden="1" customWidth="1"/>
    <col min="9485" max="9485" width="6.140625" style="37" hidden="1" customWidth="1"/>
    <col min="9486" max="9486" width="15.5703125" style="37" hidden="1" customWidth="1"/>
    <col min="9487" max="9728" width="9.140625" style="37" hidden="1" customWidth="1"/>
    <col min="9729" max="9729" width="8.85546875" style="37" hidden="1" customWidth="1"/>
    <col min="9730" max="9730" width="11.85546875" style="37" hidden="1" customWidth="1"/>
    <col min="9731" max="9732" width="17.5703125" style="37" hidden="1" customWidth="1"/>
    <col min="9733" max="9733" width="12.42578125" style="37" hidden="1" customWidth="1"/>
    <col min="9734" max="9734" width="11.140625" style="37" hidden="1" customWidth="1"/>
    <col min="9735" max="9735" width="18.42578125" style="37" hidden="1" customWidth="1"/>
    <col min="9736" max="9740" width="17.5703125" style="37" hidden="1" customWidth="1"/>
    <col min="9741" max="9741" width="6.140625" style="37" hidden="1" customWidth="1"/>
    <col min="9742" max="9742" width="15.5703125" style="37" hidden="1" customWidth="1"/>
    <col min="9743" max="9984" width="9.140625" style="37" hidden="1" customWidth="1"/>
    <col min="9985" max="9985" width="8.85546875" style="37" hidden="1" customWidth="1"/>
    <col min="9986" max="9986" width="11.85546875" style="37" hidden="1" customWidth="1"/>
    <col min="9987" max="9988" width="17.5703125" style="37" hidden="1" customWidth="1"/>
    <col min="9989" max="9989" width="12.42578125" style="37" hidden="1" customWidth="1"/>
    <col min="9990" max="9990" width="11.140625" style="37" hidden="1" customWidth="1"/>
    <col min="9991" max="9991" width="18.42578125" style="37" hidden="1" customWidth="1"/>
    <col min="9992" max="9996" width="17.5703125" style="37" hidden="1" customWidth="1"/>
    <col min="9997" max="9997" width="6.140625" style="37" hidden="1" customWidth="1"/>
    <col min="9998" max="9998" width="15.5703125" style="37" hidden="1" customWidth="1"/>
    <col min="9999" max="10240" width="9.140625" style="37" hidden="1"/>
    <col min="10241" max="10241" width="8.85546875" style="37" hidden="1" customWidth="1"/>
    <col min="10242" max="10242" width="11.85546875" style="37" hidden="1" customWidth="1"/>
    <col min="10243" max="10244" width="17.5703125" style="37" hidden="1" customWidth="1"/>
    <col min="10245" max="10245" width="12.42578125" style="37" hidden="1" customWidth="1"/>
    <col min="10246" max="10246" width="11.140625" style="37" hidden="1" customWidth="1"/>
    <col min="10247" max="10247" width="18.42578125" style="37" hidden="1" customWidth="1"/>
    <col min="10248" max="10252" width="17.5703125" style="37" hidden="1" customWidth="1"/>
    <col min="10253" max="10253" width="6.140625" style="37" hidden="1" customWidth="1"/>
    <col min="10254" max="10254" width="15.5703125" style="37" hidden="1" customWidth="1"/>
    <col min="10255" max="10496" width="9.140625" style="37" hidden="1" customWidth="1"/>
    <col min="10497" max="10497" width="8.85546875" style="37" hidden="1" customWidth="1"/>
    <col min="10498" max="10498" width="11.85546875" style="37" hidden="1" customWidth="1"/>
    <col min="10499" max="10500" width="17.5703125" style="37" hidden="1" customWidth="1"/>
    <col min="10501" max="10501" width="12.42578125" style="37" hidden="1" customWidth="1"/>
    <col min="10502" max="10502" width="11.140625" style="37" hidden="1" customWidth="1"/>
    <col min="10503" max="10503" width="18.42578125" style="37" hidden="1" customWidth="1"/>
    <col min="10504" max="10508" width="17.5703125" style="37" hidden="1" customWidth="1"/>
    <col min="10509" max="10509" width="6.140625" style="37" hidden="1" customWidth="1"/>
    <col min="10510" max="10510" width="15.5703125" style="37" hidden="1" customWidth="1"/>
    <col min="10511" max="10752" width="9.140625" style="37" hidden="1" customWidth="1"/>
    <col min="10753" max="10753" width="8.85546875" style="37" hidden="1" customWidth="1"/>
    <col min="10754" max="10754" width="11.85546875" style="37" hidden="1" customWidth="1"/>
    <col min="10755" max="10756" width="17.5703125" style="37" hidden="1" customWidth="1"/>
    <col min="10757" max="10757" width="12.42578125" style="37" hidden="1" customWidth="1"/>
    <col min="10758" max="10758" width="11.140625" style="37" hidden="1" customWidth="1"/>
    <col min="10759" max="10759" width="18.42578125" style="37" hidden="1" customWidth="1"/>
    <col min="10760" max="10764" width="17.5703125" style="37" hidden="1" customWidth="1"/>
    <col min="10765" max="10765" width="6.140625" style="37" hidden="1" customWidth="1"/>
    <col min="10766" max="10766" width="15.5703125" style="37" hidden="1" customWidth="1"/>
    <col min="10767" max="11008" width="9.140625" style="37" hidden="1" customWidth="1"/>
    <col min="11009" max="11009" width="8.85546875" style="37" hidden="1" customWidth="1"/>
    <col min="11010" max="11010" width="11.85546875" style="37" hidden="1" customWidth="1"/>
    <col min="11011" max="11012" width="17.5703125" style="37" hidden="1" customWidth="1"/>
    <col min="11013" max="11013" width="12.42578125" style="37" hidden="1" customWidth="1"/>
    <col min="11014" max="11014" width="11.140625" style="37" hidden="1" customWidth="1"/>
    <col min="11015" max="11015" width="18.42578125" style="37" hidden="1" customWidth="1"/>
    <col min="11016" max="11020" width="17.5703125" style="37" hidden="1" customWidth="1"/>
    <col min="11021" max="11021" width="6.140625" style="37" hidden="1" customWidth="1"/>
    <col min="11022" max="11022" width="15.5703125" style="37" hidden="1" customWidth="1"/>
    <col min="11023" max="11264" width="9.140625" style="37" hidden="1"/>
    <col min="11265" max="11265" width="8.85546875" style="37" hidden="1" customWidth="1"/>
    <col min="11266" max="11266" width="11.85546875" style="37" hidden="1" customWidth="1"/>
    <col min="11267" max="11268" width="17.5703125" style="37" hidden="1" customWidth="1"/>
    <col min="11269" max="11269" width="12.42578125" style="37" hidden="1" customWidth="1"/>
    <col min="11270" max="11270" width="11.140625" style="37" hidden="1" customWidth="1"/>
    <col min="11271" max="11271" width="18.42578125" style="37" hidden="1" customWidth="1"/>
    <col min="11272" max="11276" width="17.5703125" style="37" hidden="1" customWidth="1"/>
    <col min="11277" max="11277" width="6.140625" style="37" hidden="1" customWidth="1"/>
    <col min="11278" max="11278" width="15.5703125" style="37" hidden="1" customWidth="1"/>
    <col min="11279" max="11520" width="9.140625" style="37" hidden="1" customWidth="1"/>
    <col min="11521" max="11521" width="8.85546875" style="37" hidden="1" customWidth="1"/>
    <col min="11522" max="11522" width="11.85546875" style="37" hidden="1" customWidth="1"/>
    <col min="11523" max="11524" width="17.5703125" style="37" hidden="1" customWidth="1"/>
    <col min="11525" max="11525" width="12.42578125" style="37" hidden="1" customWidth="1"/>
    <col min="11526" max="11526" width="11.140625" style="37" hidden="1" customWidth="1"/>
    <col min="11527" max="11527" width="18.42578125" style="37" hidden="1" customWidth="1"/>
    <col min="11528" max="11532" width="17.5703125" style="37" hidden="1" customWidth="1"/>
    <col min="11533" max="11533" width="6.140625" style="37" hidden="1" customWidth="1"/>
    <col min="11534" max="11534" width="15.5703125" style="37" hidden="1" customWidth="1"/>
    <col min="11535" max="11776" width="9.140625" style="37" hidden="1" customWidth="1"/>
    <col min="11777" max="11777" width="8.85546875" style="37" hidden="1" customWidth="1"/>
    <col min="11778" max="11778" width="11.85546875" style="37" hidden="1" customWidth="1"/>
    <col min="11779" max="11780" width="17.5703125" style="37" hidden="1" customWidth="1"/>
    <col min="11781" max="11781" width="12.42578125" style="37" hidden="1" customWidth="1"/>
    <col min="11782" max="11782" width="11.140625" style="37" hidden="1" customWidth="1"/>
    <col min="11783" max="11783" width="18.42578125" style="37" hidden="1" customWidth="1"/>
    <col min="11784" max="11788" width="17.5703125" style="37" hidden="1" customWidth="1"/>
    <col min="11789" max="11789" width="6.140625" style="37" hidden="1" customWidth="1"/>
    <col min="11790" max="11790" width="15.5703125" style="37" hidden="1" customWidth="1"/>
    <col min="11791" max="12032" width="9.140625" style="37" hidden="1" customWidth="1"/>
    <col min="12033" max="12033" width="8.85546875" style="37" hidden="1" customWidth="1"/>
    <col min="12034" max="12034" width="11.85546875" style="37" hidden="1" customWidth="1"/>
    <col min="12035" max="12036" width="17.5703125" style="37" hidden="1" customWidth="1"/>
    <col min="12037" max="12037" width="12.42578125" style="37" hidden="1" customWidth="1"/>
    <col min="12038" max="12038" width="11.140625" style="37" hidden="1" customWidth="1"/>
    <col min="12039" max="12039" width="18.42578125" style="37" hidden="1" customWidth="1"/>
    <col min="12040" max="12044" width="17.5703125" style="37" hidden="1" customWidth="1"/>
    <col min="12045" max="12045" width="6.140625" style="37" hidden="1" customWidth="1"/>
    <col min="12046" max="12046" width="15.5703125" style="37" hidden="1" customWidth="1"/>
    <col min="12047" max="12288" width="9.140625" style="37" hidden="1"/>
    <col min="12289" max="12289" width="8.85546875" style="37" hidden="1" customWidth="1"/>
    <col min="12290" max="12290" width="11.85546875" style="37" hidden="1" customWidth="1"/>
    <col min="12291" max="12292" width="17.5703125" style="37" hidden="1" customWidth="1"/>
    <col min="12293" max="12293" width="12.42578125" style="37" hidden="1" customWidth="1"/>
    <col min="12294" max="12294" width="11.140625" style="37" hidden="1" customWidth="1"/>
    <col min="12295" max="12295" width="18.42578125" style="37" hidden="1" customWidth="1"/>
    <col min="12296" max="12300" width="17.5703125" style="37" hidden="1" customWidth="1"/>
    <col min="12301" max="12301" width="6.140625" style="37" hidden="1" customWidth="1"/>
    <col min="12302" max="12302" width="15.5703125" style="37" hidden="1" customWidth="1"/>
    <col min="12303" max="12544" width="9.140625" style="37" hidden="1" customWidth="1"/>
    <col min="12545" max="12545" width="8.85546875" style="37" hidden="1" customWidth="1"/>
    <col min="12546" max="12546" width="11.85546875" style="37" hidden="1" customWidth="1"/>
    <col min="12547" max="12548" width="17.5703125" style="37" hidden="1" customWidth="1"/>
    <col min="12549" max="12549" width="12.42578125" style="37" hidden="1" customWidth="1"/>
    <col min="12550" max="12550" width="11.140625" style="37" hidden="1" customWidth="1"/>
    <col min="12551" max="12551" width="18.42578125" style="37" hidden="1" customWidth="1"/>
    <col min="12552" max="12556" width="17.5703125" style="37" hidden="1" customWidth="1"/>
    <col min="12557" max="12557" width="6.140625" style="37" hidden="1" customWidth="1"/>
    <col min="12558" max="12558" width="15.5703125" style="37" hidden="1" customWidth="1"/>
    <col min="12559" max="12800" width="9.140625" style="37" hidden="1" customWidth="1"/>
    <col min="12801" max="12801" width="8.85546875" style="37" hidden="1" customWidth="1"/>
    <col min="12802" max="12802" width="11.85546875" style="37" hidden="1" customWidth="1"/>
    <col min="12803" max="12804" width="17.5703125" style="37" hidden="1" customWidth="1"/>
    <col min="12805" max="12805" width="12.42578125" style="37" hidden="1" customWidth="1"/>
    <col min="12806" max="12806" width="11.140625" style="37" hidden="1" customWidth="1"/>
    <col min="12807" max="12807" width="18.42578125" style="37" hidden="1" customWidth="1"/>
    <col min="12808" max="12812" width="17.5703125" style="37" hidden="1" customWidth="1"/>
    <col min="12813" max="12813" width="6.140625" style="37" hidden="1" customWidth="1"/>
    <col min="12814" max="12814" width="15.5703125" style="37" hidden="1" customWidth="1"/>
    <col min="12815" max="13056" width="9.140625" style="37" hidden="1" customWidth="1"/>
    <col min="13057" max="13057" width="8.85546875" style="37" hidden="1" customWidth="1"/>
    <col min="13058" max="13058" width="11.85546875" style="37" hidden="1" customWidth="1"/>
    <col min="13059" max="13060" width="17.5703125" style="37" hidden="1" customWidth="1"/>
    <col min="13061" max="13061" width="12.42578125" style="37" hidden="1" customWidth="1"/>
    <col min="13062" max="13062" width="11.140625" style="37" hidden="1" customWidth="1"/>
    <col min="13063" max="13063" width="18.42578125" style="37" hidden="1" customWidth="1"/>
    <col min="13064" max="13068" width="17.5703125" style="37" hidden="1" customWidth="1"/>
    <col min="13069" max="13069" width="6.140625" style="37" hidden="1" customWidth="1"/>
    <col min="13070" max="13070" width="15.5703125" style="37" hidden="1" customWidth="1"/>
    <col min="13071" max="13312" width="9.140625" style="37" hidden="1"/>
    <col min="13313" max="13313" width="8.85546875" style="37" hidden="1" customWidth="1"/>
    <col min="13314" max="13314" width="11.85546875" style="37" hidden="1" customWidth="1"/>
    <col min="13315" max="13316" width="17.5703125" style="37" hidden="1" customWidth="1"/>
    <col min="13317" max="13317" width="12.42578125" style="37" hidden="1" customWidth="1"/>
    <col min="13318" max="13318" width="11.140625" style="37" hidden="1" customWidth="1"/>
    <col min="13319" max="13319" width="18.42578125" style="37" hidden="1" customWidth="1"/>
    <col min="13320" max="13324" width="17.5703125" style="37" hidden="1" customWidth="1"/>
    <col min="13325" max="13325" width="6.140625" style="37" hidden="1" customWidth="1"/>
    <col min="13326" max="13326" width="15.5703125" style="37" hidden="1" customWidth="1"/>
    <col min="13327" max="13568" width="9.140625" style="37" hidden="1" customWidth="1"/>
    <col min="13569" max="13569" width="8.85546875" style="37" hidden="1" customWidth="1"/>
    <col min="13570" max="13570" width="11.85546875" style="37" hidden="1" customWidth="1"/>
    <col min="13571" max="13572" width="17.5703125" style="37" hidden="1" customWidth="1"/>
    <col min="13573" max="13573" width="12.42578125" style="37" hidden="1" customWidth="1"/>
    <col min="13574" max="13574" width="11.140625" style="37" hidden="1" customWidth="1"/>
    <col min="13575" max="13575" width="18.42578125" style="37" hidden="1" customWidth="1"/>
    <col min="13576" max="13580" width="17.5703125" style="37" hidden="1" customWidth="1"/>
    <col min="13581" max="13581" width="6.140625" style="37" hidden="1" customWidth="1"/>
    <col min="13582" max="13582" width="15.5703125" style="37" hidden="1" customWidth="1"/>
    <col min="13583" max="13824" width="9.140625" style="37" hidden="1" customWidth="1"/>
    <col min="13825" max="13825" width="8.85546875" style="37" hidden="1" customWidth="1"/>
    <col min="13826" max="13826" width="11.85546875" style="37" hidden="1" customWidth="1"/>
    <col min="13827" max="13828" width="17.5703125" style="37" hidden="1" customWidth="1"/>
    <col min="13829" max="13829" width="12.42578125" style="37" hidden="1" customWidth="1"/>
    <col min="13830" max="13830" width="11.140625" style="37" hidden="1" customWidth="1"/>
    <col min="13831" max="13831" width="18.42578125" style="37" hidden="1" customWidth="1"/>
    <col min="13832" max="13836" width="17.5703125" style="37" hidden="1" customWidth="1"/>
    <col min="13837" max="13837" width="6.140625" style="37" hidden="1" customWidth="1"/>
    <col min="13838" max="13838" width="15.5703125" style="37" hidden="1" customWidth="1"/>
    <col min="13839" max="14080" width="9.140625" style="37" hidden="1" customWidth="1"/>
    <col min="14081" max="14081" width="8.85546875" style="37" hidden="1" customWidth="1"/>
    <col min="14082" max="14082" width="11.85546875" style="37" hidden="1" customWidth="1"/>
    <col min="14083" max="14084" width="17.5703125" style="37" hidden="1" customWidth="1"/>
    <col min="14085" max="14085" width="12.42578125" style="37" hidden="1" customWidth="1"/>
    <col min="14086" max="14086" width="11.140625" style="37" hidden="1" customWidth="1"/>
    <col min="14087" max="14087" width="18.42578125" style="37" hidden="1" customWidth="1"/>
    <col min="14088" max="14092" width="17.5703125" style="37" hidden="1" customWidth="1"/>
    <col min="14093" max="14093" width="6.140625" style="37" hidden="1" customWidth="1"/>
    <col min="14094" max="14094" width="15.5703125" style="37" hidden="1" customWidth="1"/>
    <col min="14095" max="14336" width="9.140625" style="37" hidden="1"/>
    <col min="14337" max="14337" width="8.85546875" style="37" hidden="1" customWidth="1"/>
    <col min="14338" max="14338" width="11.85546875" style="37" hidden="1" customWidth="1"/>
    <col min="14339" max="14340" width="17.5703125" style="37" hidden="1" customWidth="1"/>
    <col min="14341" max="14341" width="12.42578125" style="37" hidden="1" customWidth="1"/>
    <col min="14342" max="14342" width="11.140625" style="37" hidden="1" customWidth="1"/>
    <col min="14343" max="14343" width="18.42578125" style="37" hidden="1" customWidth="1"/>
    <col min="14344" max="14348" width="17.5703125" style="37" hidden="1" customWidth="1"/>
    <col min="14349" max="14349" width="6.140625" style="37" hidden="1" customWidth="1"/>
    <col min="14350" max="14350" width="15.5703125" style="37" hidden="1" customWidth="1"/>
    <col min="14351" max="14592" width="9.140625" style="37" hidden="1" customWidth="1"/>
    <col min="14593" max="14593" width="8.85546875" style="37" hidden="1" customWidth="1"/>
    <col min="14594" max="14594" width="11.85546875" style="37" hidden="1" customWidth="1"/>
    <col min="14595" max="14596" width="17.5703125" style="37" hidden="1" customWidth="1"/>
    <col min="14597" max="14597" width="12.42578125" style="37" hidden="1" customWidth="1"/>
    <col min="14598" max="14598" width="11.140625" style="37" hidden="1" customWidth="1"/>
    <col min="14599" max="14599" width="18.42578125" style="37" hidden="1" customWidth="1"/>
    <col min="14600" max="14604" width="17.5703125" style="37" hidden="1" customWidth="1"/>
    <col min="14605" max="14605" width="6.140625" style="37" hidden="1" customWidth="1"/>
    <col min="14606" max="14606" width="15.5703125" style="37" hidden="1" customWidth="1"/>
    <col min="14607" max="14848" width="9.140625" style="37" hidden="1" customWidth="1"/>
    <col min="14849" max="14849" width="8.85546875" style="37" hidden="1" customWidth="1"/>
    <col min="14850" max="14850" width="11.85546875" style="37" hidden="1" customWidth="1"/>
    <col min="14851" max="14852" width="17.5703125" style="37" hidden="1" customWidth="1"/>
    <col min="14853" max="14853" width="12.42578125" style="37" hidden="1" customWidth="1"/>
    <col min="14854" max="14854" width="11.140625" style="37" hidden="1" customWidth="1"/>
    <col min="14855" max="14855" width="18.42578125" style="37" hidden="1" customWidth="1"/>
    <col min="14856" max="14860" width="17.5703125" style="37" hidden="1" customWidth="1"/>
    <col min="14861" max="14861" width="6.140625" style="37" hidden="1" customWidth="1"/>
    <col min="14862" max="14862" width="15.5703125" style="37" hidden="1" customWidth="1"/>
    <col min="14863" max="15104" width="9.140625" style="37" hidden="1" customWidth="1"/>
    <col min="15105" max="15105" width="8.85546875" style="37" hidden="1" customWidth="1"/>
    <col min="15106" max="15106" width="11.85546875" style="37" hidden="1" customWidth="1"/>
    <col min="15107" max="15108" width="17.5703125" style="37" hidden="1" customWidth="1"/>
    <col min="15109" max="15109" width="12.42578125" style="37" hidden="1" customWidth="1"/>
    <col min="15110" max="15110" width="11.140625" style="37" hidden="1" customWidth="1"/>
    <col min="15111" max="15111" width="18.42578125" style="37" hidden="1" customWidth="1"/>
    <col min="15112" max="15116" width="17.5703125" style="37" hidden="1" customWidth="1"/>
    <col min="15117" max="15117" width="6.140625" style="37" hidden="1" customWidth="1"/>
    <col min="15118" max="15118" width="15.5703125" style="37" hidden="1" customWidth="1"/>
    <col min="15119" max="15360" width="9.140625" style="37" hidden="1"/>
    <col min="15361" max="15361" width="8.85546875" style="37" hidden="1" customWidth="1"/>
    <col min="15362" max="15362" width="11.85546875" style="37" hidden="1" customWidth="1"/>
    <col min="15363" max="15364" width="17.5703125" style="37" hidden="1" customWidth="1"/>
    <col min="15365" max="15365" width="12.42578125" style="37" hidden="1" customWidth="1"/>
    <col min="15366" max="15366" width="11.140625" style="37" hidden="1" customWidth="1"/>
    <col min="15367" max="15367" width="18.42578125" style="37" hidden="1" customWidth="1"/>
    <col min="15368" max="15372" width="17.5703125" style="37" hidden="1" customWidth="1"/>
    <col min="15373" max="15373" width="6.140625" style="37" hidden="1" customWidth="1"/>
    <col min="15374" max="15374" width="15.5703125" style="37" hidden="1" customWidth="1"/>
    <col min="15375" max="15616" width="9.140625" style="37" hidden="1" customWidth="1"/>
    <col min="15617" max="15617" width="8.85546875" style="37" hidden="1" customWidth="1"/>
    <col min="15618" max="15618" width="11.85546875" style="37" hidden="1" customWidth="1"/>
    <col min="15619" max="15620" width="17.5703125" style="37" hidden="1" customWidth="1"/>
    <col min="15621" max="15621" width="12.42578125" style="37" hidden="1" customWidth="1"/>
    <col min="15622" max="15622" width="11.140625" style="37" hidden="1" customWidth="1"/>
    <col min="15623" max="15623" width="18.42578125" style="37" hidden="1" customWidth="1"/>
    <col min="15624" max="15628" width="17.5703125" style="37" hidden="1" customWidth="1"/>
    <col min="15629" max="15629" width="6.140625" style="37" hidden="1" customWidth="1"/>
    <col min="15630" max="15630" width="15.5703125" style="37" hidden="1" customWidth="1"/>
    <col min="15631" max="15872" width="9.140625" style="37" hidden="1" customWidth="1"/>
    <col min="15873" max="15873" width="8.85546875" style="37" hidden="1" customWidth="1"/>
    <col min="15874" max="15874" width="11.85546875" style="37" hidden="1" customWidth="1"/>
    <col min="15875" max="15876" width="17.5703125" style="37" hidden="1" customWidth="1"/>
    <col min="15877" max="15877" width="12.42578125" style="37" hidden="1" customWidth="1"/>
    <col min="15878" max="15878" width="11.140625" style="37" hidden="1" customWidth="1"/>
    <col min="15879" max="15879" width="18.42578125" style="37" hidden="1" customWidth="1"/>
    <col min="15880" max="15884" width="17.5703125" style="37" hidden="1" customWidth="1"/>
    <col min="15885" max="15885" width="6.140625" style="37" hidden="1" customWidth="1"/>
    <col min="15886" max="15886" width="15.5703125" style="37" hidden="1" customWidth="1"/>
    <col min="15887" max="16128" width="9.140625" style="37" hidden="1" customWidth="1"/>
    <col min="16129" max="16129" width="8.85546875" style="37" hidden="1" customWidth="1"/>
    <col min="16130" max="16130" width="11.85546875" style="37" hidden="1" customWidth="1"/>
    <col min="16131" max="16132" width="17.5703125" style="37" hidden="1" customWidth="1"/>
    <col min="16133" max="16133" width="12.42578125" style="37" hidden="1" customWidth="1"/>
    <col min="16134" max="16134" width="11.140625" style="37" hidden="1" customWidth="1"/>
    <col min="16135" max="16135" width="18.42578125" style="37" hidden="1" customWidth="1"/>
    <col min="16136" max="16140" width="17.5703125" style="37" hidden="1" customWidth="1"/>
    <col min="16141" max="16141" width="6.140625" style="37" hidden="1" customWidth="1"/>
    <col min="16142" max="16143" width="15.5703125" style="37" hidden="1" customWidth="1"/>
    <col min="16144" max="16383" width="9.140625" style="37" hidden="1" customWidth="1"/>
    <col min="16384" max="16384" width="9.140625" style="37" hidden="1"/>
  </cols>
  <sheetData>
    <row r="1" spans="2:13" x14ac:dyDescent="0.2"/>
    <row r="2" spans="2:13" s="1" customFormat="1" ht="26.25" customHeight="1" x14ac:dyDescent="0.4">
      <c r="B2" s="1" t="s">
        <v>630</v>
      </c>
    </row>
    <row r="3" spans="2:13" ht="18" x14ac:dyDescent="0.25">
      <c r="H3" s="37"/>
      <c r="I3" s="37"/>
      <c r="J3" s="39"/>
      <c r="K3" s="39"/>
      <c r="L3" s="39"/>
    </row>
    <row r="4" spans="2:13" ht="18" x14ac:dyDescent="0.25">
      <c r="B4" s="40" t="s">
        <v>534</v>
      </c>
      <c r="C4" s="40"/>
      <c r="D4" s="125" t="str">
        <f>Scheme_name_in</f>
        <v>Warrington Western Link Road Red</v>
      </c>
      <c r="E4" s="41"/>
      <c r="H4" s="37"/>
      <c r="I4" s="37"/>
      <c r="J4" s="39"/>
      <c r="K4" s="39"/>
      <c r="L4" s="39"/>
    </row>
    <row r="5" spans="2:13" ht="18.75" thickBot="1" x14ac:dyDescent="0.3">
      <c r="B5" s="40"/>
      <c r="C5" s="40"/>
      <c r="D5" s="42"/>
      <c r="E5" s="43"/>
      <c r="H5" s="37"/>
      <c r="I5" s="37"/>
      <c r="J5" s="39"/>
      <c r="K5" s="39"/>
      <c r="L5" s="39"/>
    </row>
    <row r="6" spans="2:13" ht="22.5" customHeight="1" thickBot="1" x14ac:dyDescent="0.3">
      <c r="B6" s="40" t="s">
        <v>535</v>
      </c>
      <c r="C6" s="40"/>
      <c r="D6" s="40"/>
      <c r="E6" s="44">
        <f>PV_base_year</f>
        <v>2010</v>
      </c>
      <c r="H6" s="37"/>
      <c r="I6" s="37"/>
      <c r="J6" s="39"/>
      <c r="K6" s="39"/>
      <c r="L6" s="39"/>
    </row>
    <row r="7" spans="2:13" ht="22.5" customHeight="1" thickBot="1" x14ac:dyDescent="0.3">
      <c r="B7" s="40"/>
      <c r="C7" s="40"/>
      <c r="D7" s="40"/>
      <c r="E7" s="45"/>
      <c r="H7" s="37"/>
      <c r="I7" s="37"/>
      <c r="J7" s="39"/>
      <c r="K7" s="39"/>
      <c r="L7" s="39"/>
    </row>
    <row r="8" spans="2:13" ht="22.5" customHeight="1" thickBot="1" x14ac:dyDescent="0.3">
      <c r="B8" s="40" t="s">
        <v>536</v>
      </c>
      <c r="C8" s="40"/>
      <c r="D8" s="40"/>
      <c r="E8" s="44">
        <f>Current_year</f>
        <v>2017</v>
      </c>
      <c r="H8" s="37"/>
      <c r="I8" s="37"/>
      <c r="J8" s="39"/>
      <c r="K8" s="39"/>
      <c r="L8" s="39"/>
    </row>
    <row r="9" spans="2:13" ht="18.75" thickBot="1" x14ac:dyDescent="0.3">
      <c r="E9" s="38"/>
      <c r="H9" s="37"/>
      <c r="I9" s="37"/>
      <c r="J9" s="39"/>
      <c r="K9" s="39"/>
      <c r="L9" s="39"/>
    </row>
    <row r="10" spans="2:13" ht="24.75" customHeight="1" thickBot="1" x14ac:dyDescent="0.3">
      <c r="B10" s="40" t="s">
        <v>537</v>
      </c>
      <c r="C10" s="46"/>
      <c r="D10" s="46"/>
      <c r="E10" s="44">
        <f>Opening_year</f>
        <v>2026</v>
      </c>
      <c r="F10" s="47"/>
      <c r="G10" s="47"/>
      <c r="H10" s="37"/>
      <c r="I10" s="37"/>
      <c r="J10" s="39"/>
      <c r="K10" s="39"/>
      <c r="L10" s="39"/>
    </row>
    <row r="11" spans="2:13" ht="18.75" thickBot="1" x14ac:dyDescent="0.3">
      <c r="B11" s="46"/>
      <c r="C11" s="46"/>
      <c r="D11" s="46"/>
      <c r="E11" s="38"/>
      <c r="H11" s="37"/>
      <c r="I11" s="37"/>
      <c r="J11" s="39"/>
      <c r="K11" s="39"/>
      <c r="L11" s="39"/>
    </row>
    <row r="12" spans="2:13" ht="23.25" customHeight="1" thickBot="1" x14ac:dyDescent="0.3">
      <c r="B12" s="48" t="s">
        <v>544</v>
      </c>
      <c r="C12" s="49"/>
      <c r="D12" s="49"/>
      <c r="E12" s="44" t="str">
        <f>Scheme_type_in</f>
        <v>road</v>
      </c>
      <c r="F12" s="47"/>
      <c r="G12" s="47"/>
      <c r="H12" s="37"/>
      <c r="I12" s="37"/>
      <c r="J12" s="39"/>
      <c r="K12" s="39"/>
      <c r="L12" s="39"/>
    </row>
    <row r="13" spans="2:13" ht="15" customHeight="1" x14ac:dyDescent="0.25">
      <c r="B13" s="48"/>
      <c r="C13" s="49"/>
      <c r="D13" s="49"/>
      <c r="E13" s="39" t="s">
        <v>538</v>
      </c>
      <c r="F13" s="47"/>
      <c r="G13" s="47"/>
      <c r="H13" s="37"/>
      <c r="I13" s="37"/>
      <c r="J13" s="39"/>
      <c r="K13" s="39"/>
      <c r="L13" s="39"/>
    </row>
    <row r="14" spans="2:13" ht="15" customHeight="1" thickBot="1" x14ac:dyDescent="0.3">
      <c r="B14" s="48"/>
      <c r="C14" s="49"/>
      <c r="D14" s="49"/>
      <c r="E14" s="39" t="s">
        <v>538</v>
      </c>
      <c r="F14" s="47"/>
      <c r="G14" s="47"/>
      <c r="H14" s="37"/>
      <c r="I14" s="37"/>
      <c r="J14" s="39"/>
      <c r="K14" s="39"/>
      <c r="L14" s="39"/>
    </row>
    <row r="15" spans="2:13" ht="15" customHeight="1" thickTop="1" thickBot="1" x14ac:dyDescent="0.3">
      <c r="B15" s="50"/>
      <c r="C15" s="50"/>
      <c r="D15" s="50"/>
      <c r="E15" s="50"/>
      <c r="F15" s="50"/>
      <c r="G15" s="50"/>
      <c r="H15" s="50"/>
      <c r="I15" s="51"/>
      <c r="J15" s="39"/>
      <c r="K15" s="39"/>
      <c r="L15" s="39"/>
      <c r="M15" s="47"/>
    </row>
    <row r="16" spans="2:13" ht="33" customHeight="1" thickBot="1" x14ac:dyDescent="0.3">
      <c r="B16" s="113" t="s">
        <v>539</v>
      </c>
      <c r="C16" s="114"/>
      <c r="D16" s="114"/>
      <c r="E16" s="114"/>
      <c r="F16" s="115"/>
      <c r="G16" s="115"/>
      <c r="H16" s="116">
        <f>Total_noise_net_present_value</f>
        <v>-19061769.016559757</v>
      </c>
      <c r="I16" s="57"/>
      <c r="J16" s="39"/>
      <c r="K16" s="39"/>
      <c r="L16" s="39"/>
      <c r="M16" s="47"/>
    </row>
    <row r="17" spans="2:13" ht="32.25" customHeight="1" thickBot="1" x14ac:dyDescent="0.3">
      <c r="B17" s="58"/>
      <c r="C17" s="58"/>
      <c r="D17" s="58"/>
      <c r="E17" s="58"/>
      <c r="F17" s="58"/>
      <c r="G17" s="58"/>
      <c r="H17" s="59" t="s">
        <v>540</v>
      </c>
      <c r="I17" s="59"/>
      <c r="J17" s="39"/>
      <c r="K17" s="39"/>
      <c r="L17" s="39"/>
      <c r="M17" s="60"/>
    </row>
    <row r="18" spans="2:13" ht="15" customHeight="1" thickTop="1" thickBot="1" x14ac:dyDescent="0.3">
      <c r="B18" s="50"/>
      <c r="C18" s="50"/>
      <c r="D18" s="50"/>
      <c r="E18" s="50"/>
      <c r="F18" s="50"/>
      <c r="G18" s="50"/>
      <c r="H18" s="50"/>
      <c r="I18" s="63"/>
      <c r="J18" s="39"/>
      <c r="K18" s="39"/>
      <c r="L18" s="39"/>
      <c r="M18" s="47"/>
    </row>
    <row r="19" spans="2:13" ht="15" customHeight="1" thickBot="1" x14ac:dyDescent="0.3">
      <c r="B19" s="53" t="s">
        <v>545</v>
      </c>
      <c r="C19" s="54"/>
      <c r="D19" s="54"/>
      <c r="E19" s="54"/>
      <c r="F19" s="55"/>
      <c r="G19" s="55"/>
      <c r="H19" s="56">
        <f>Total_discounted_sleep_disturbance_valuation</f>
        <v>-8867492.7741625048</v>
      </c>
      <c r="I19" s="63"/>
      <c r="J19" s="39"/>
      <c r="K19" s="39"/>
      <c r="L19" s="39"/>
      <c r="M19" s="47"/>
    </row>
    <row r="20" spans="2:13" ht="15" customHeight="1" thickBot="1" x14ac:dyDescent="0.3">
      <c r="B20" s="53" t="s">
        <v>546</v>
      </c>
      <c r="C20" s="54"/>
      <c r="D20" s="54"/>
      <c r="E20" s="54"/>
      <c r="F20" s="55"/>
      <c r="G20" s="55"/>
      <c r="H20" s="56">
        <f>Total_discounted_amenity_valuation</f>
        <v>-7044498.4206251604</v>
      </c>
      <c r="I20" s="63"/>
      <c r="J20" s="39"/>
      <c r="K20" s="39"/>
      <c r="L20" s="39"/>
      <c r="M20" s="47"/>
    </row>
    <row r="21" spans="2:13" ht="15" customHeight="1" thickBot="1" x14ac:dyDescent="0.3">
      <c r="B21" s="53" t="s">
        <v>547</v>
      </c>
      <c r="C21" s="54"/>
      <c r="D21" s="54"/>
      <c r="E21" s="54"/>
      <c r="F21" s="55"/>
      <c r="G21" s="55"/>
      <c r="H21" s="56">
        <f>Total_discounted_AMI_valuation</f>
        <v>-569926.21383477526</v>
      </c>
      <c r="I21" s="63"/>
      <c r="J21" s="39"/>
      <c r="K21" s="39"/>
      <c r="L21" s="39"/>
      <c r="M21" s="47"/>
    </row>
    <row r="22" spans="2:13" ht="15" customHeight="1" thickBot="1" x14ac:dyDescent="0.3">
      <c r="B22" s="53" t="s">
        <v>548</v>
      </c>
      <c r="C22" s="54"/>
      <c r="D22" s="54"/>
      <c r="E22" s="54"/>
      <c r="F22" s="55"/>
      <c r="G22" s="55"/>
      <c r="H22" s="56">
        <f>Total_discounted_stroke_valuation</f>
        <v>-1026914.2698689897</v>
      </c>
      <c r="I22" s="63"/>
      <c r="J22" s="39"/>
      <c r="K22" s="39"/>
      <c r="L22" s="39"/>
      <c r="M22" s="47"/>
    </row>
    <row r="23" spans="2:13" ht="15" customHeight="1" thickBot="1" x14ac:dyDescent="0.3">
      <c r="B23" s="53" t="s">
        <v>549</v>
      </c>
      <c r="C23" s="54"/>
      <c r="D23" s="54"/>
      <c r="E23" s="54"/>
      <c r="F23" s="55"/>
      <c r="G23" s="55"/>
      <c r="H23" s="56">
        <f>Total_discounted_dementia_valuation</f>
        <v>-1552937.3380683246</v>
      </c>
      <c r="I23" s="63"/>
      <c r="J23" s="39"/>
      <c r="K23" s="39"/>
      <c r="L23" s="39"/>
      <c r="M23" s="47"/>
    </row>
    <row r="24" spans="2:13" ht="15" customHeight="1" thickBot="1" x14ac:dyDescent="0.3">
      <c r="B24" s="61"/>
      <c r="C24" s="61"/>
      <c r="D24" s="61"/>
      <c r="E24" s="61"/>
      <c r="F24" s="62"/>
      <c r="G24" s="62"/>
      <c r="H24" s="63"/>
      <c r="I24" s="63"/>
      <c r="J24" s="39"/>
      <c r="K24" s="39"/>
      <c r="L24" s="39"/>
      <c r="M24" s="47"/>
    </row>
    <row r="25" spans="2:13" ht="15" customHeight="1" thickTop="1" x14ac:dyDescent="0.25">
      <c r="B25" s="64"/>
      <c r="C25" s="64"/>
      <c r="D25" s="64"/>
      <c r="E25" s="64"/>
      <c r="F25" s="64"/>
      <c r="G25" s="64"/>
      <c r="H25" s="50"/>
      <c r="I25" s="63"/>
      <c r="J25" s="39"/>
      <c r="K25" s="39"/>
      <c r="L25" s="39"/>
      <c r="M25" s="47"/>
    </row>
    <row r="26" spans="2:13" ht="15" customHeight="1" x14ac:dyDescent="0.25">
      <c r="B26" s="42" t="s">
        <v>825</v>
      </c>
      <c r="C26" s="61"/>
      <c r="D26" s="61"/>
      <c r="E26" s="61"/>
      <c r="F26" s="62"/>
      <c r="G26" s="62"/>
      <c r="H26" s="63"/>
      <c r="I26" s="63"/>
      <c r="J26" s="39"/>
      <c r="K26" s="39"/>
      <c r="L26" s="39"/>
      <c r="M26" s="47"/>
    </row>
    <row r="27" spans="2:13" ht="15" customHeight="1" thickBot="1" x14ac:dyDescent="0.3">
      <c r="B27" s="42"/>
      <c r="C27" s="61"/>
      <c r="D27" s="61"/>
      <c r="E27" s="61"/>
      <c r="F27" s="62"/>
      <c r="G27" s="62"/>
      <c r="H27" s="63"/>
      <c r="I27" s="63"/>
      <c r="J27" s="39"/>
      <c r="K27" s="39"/>
      <c r="L27" s="39"/>
      <c r="M27" s="47"/>
    </row>
    <row r="28" spans="2:13" ht="15" customHeight="1" thickBot="1" x14ac:dyDescent="0.3">
      <c r="B28" s="61" t="s">
        <v>826</v>
      </c>
      <c r="C28" s="61"/>
      <c r="D28" s="61"/>
      <c r="E28" s="61"/>
      <c r="F28" s="62"/>
      <c r="G28" s="62"/>
      <c r="H28" s="184">
        <f>Total_HH_increase_day</f>
        <v>4228</v>
      </c>
      <c r="I28" s="63"/>
      <c r="J28" s="39"/>
      <c r="K28" s="39"/>
      <c r="L28" s="39"/>
      <c r="M28" s="47"/>
    </row>
    <row r="29" spans="2:13" ht="15" customHeight="1" thickBot="1" x14ac:dyDescent="0.3">
      <c r="B29" s="61" t="s">
        <v>827</v>
      </c>
      <c r="C29" s="61"/>
      <c r="D29" s="61"/>
      <c r="E29" s="61"/>
      <c r="F29" s="62"/>
      <c r="G29" s="62"/>
      <c r="H29" s="184">
        <f>Total_HH_reduction_day</f>
        <v>317</v>
      </c>
      <c r="I29" s="63"/>
      <c r="J29" s="39"/>
      <c r="K29" s="39"/>
      <c r="L29" s="39"/>
      <c r="M29" s="47"/>
    </row>
    <row r="30" spans="2:13" ht="15" customHeight="1" thickBot="1" x14ac:dyDescent="0.3">
      <c r="B30" s="61" t="s">
        <v>828</v>
      </c>
      <c r="C30" s="61"/>
      <c r="D30" s="61"/>
      <c r="E30" s="61"/>
      <c r="F30" s="62"/>
      <c r="G30" s="62"/>
      <c r="H30" s="184">
        <f>Total_HH_increase_night</f>
        <v>2992</v>
      </c>
      <c r="I30" s="63"/>
      <c r="J30" s="39"/>
      <c r="K30" s="39"/>
      <c r="L30" s="39"/>
      <c r="M30" s="47"/>
    </row>
    <row r="31" spans="2:13" ht="15" customHeight="1" thickBot="1" x14ac:dyDescent="0.3">
      <c r="B31" s="61" t="s">
        <v>833</v>
      </c>
      <c r="C31" s="61"/>
      <c r="D31" s="61"/>
      <c r="E31" s="61"/>
      <c r="F31" s="62"/>
      <c r="G31" s="62"/>
      <c r="H31" s="184">
        <f>Total_HH_reduction_night</f>
        <v>850</v>
      </c>
      <c r="I31" s="63"/>
      <c r="J31" s="39"/>
      <c r="K31" s="39"/>
      <c r="L31" s="39"/>
      <c r="M31" s="47"/>
    </row>
    <row r="32" spans="2:13" ht="15" customHeight="1" thickBot="1" x14ac:dyDescent="0.3">
      <c r="B32" s="61"/>
      <c r="C32" s="61"/>
      <c r="D32" s="61"/>
      <c r="E32" s="61"/>
      <c r="F32" s="62"/>
      <c r="G32" s="62"/>
      <c r="H32" s="63"/>
      <c r="I32" s="63"/>
      <c r="J32" s="39"/>
      <c r="K32" s="39"/>
      <c r="L32" s="39"/>
      <c r="M32" s="47"/>
    </row>
    <row r="33" spans="2:13" ht="15" customHeight="1" thickTop="1" x14ac:dyDescent="0.25">
      <c r="B33" s="64"/>
      <c r="C33" s="64"/>
      <c r="D33" s="64"/>
      <c r="E33" s="64"/>
      <c r="F33" s="64"/>
      <c r="G33" s="64"/>
      <c r="H33" s="50"/>
      <c r="I33" s="51"/>
      <c r="J33" s="39"/>
      <c r="K33" s="39"/>
      <c r="L33" s="39"/>
      <c r="M33" s="47"/>
    </row>
    <row r="34" spans="2:13" ht="15" customHeight="1" x14ac:dyDescent="0.25">
      <c r="B34" s="52" t="s">
        <v>541</v>
      </c>
      <c r="C34" s="65"/>
      <c r="D34" s="65"/>
      <c r="E34" s="65"/>
      <c r="F34" s="65"/>
      <c r="G34" s="65"/>
      <c r="H34" s="66"/>
      <c r="I34" s="66"/>
      <c r="J34" s="39"/>
      <c r="K34" s="39"/>
      <c r="L34" s="39"/>
      <c r="M34" s="67"/>
    </row>
    <row r="35" spans="2:13" ht="15" customHeight="1" x14ac:dyDescent="0.25">
      <c r="B35" s="192" t="s">
        <v>840</v>
      </c>
      <c r="C35" s="192"/>
      <c r="D35" s="192"/>
      <c r="E35" s="192"/>
      <c r="F35" s="192"/>
      <c r="G35" s="192"/>
      <c r="H35" s="192"/>
      <c r="I35" s="51"/>
      <c r="J35" s="39"/>
      <c r="K35" s="39"/>
      <c r="L35" s="39"/>
      <c r="M35" s="47"/>
    </row>
    <row r="36" spans="2:13" ht="15" customHeight="1" x14ac:dyDescent="0.25">
      <c r="B36" s="192"/>
      <c r="C36" s="192"/>
      <c r="D36" s="192"/>
      <c r="E36" s="192"/>
      <c r="F36" s="192"/>
      <c r="G36" s="192"/>
      <c r="H36" s="192"/>
      <c r="I36" s="51"/>
      <c r="J36" s="39"/>
      <c r="K36" s="39"/>
      <c r="L36" s="39"/>
      <c r="M36" s="47"/>
    </row>
    <row r="37" spans="2:13" ht="15" customHeight="1" x14ac:dyDescent="0.25">
      <c r="B37" s="51"/>
      <c r="C37" s="51"/>
      <c r="D37" s="51"/>
      <c r="E37" s="51"/>
      <c r="F37" s="51"/>
      <c r="G37" s="51"/>
      <c r="H37" s="51"/>
      <c r="I37" s="51"/>
      <c r="J37" s="39"/>
      <c r="K37" s="39"/>
      <c r="L37" s="39"/>
      <c r="M37" s="47"/>
    </row>
    <row r="38" spans="2:13" ht="15" customHeight="1" x14ac:dyDescent="0.25">
      <c r="B38" s="51"/>
      <c r="C38" s="51"/>
      <c r="D38" s="51"/>
      <c r="E38" s="51"/>
      <c r="F38" s="51"/>
      <c r="G38" s="51"/>
      <c r="H38" s="51"/>
      <c r="I38" s="51"/>
      <c r="J38" s="39"/>
      <c r="K38" s="39"/>
      <c r="L38" s="39"/>
      <c r="M38" s="47"/>
    </row>
    <row r="39" spans="2:13" ht="15" customHeight="1" x14ac:dyDescent="0.25">
      <c r="B39" s="51"/>
      <c r="C39" s="51"/>
      <c r="D39" s="51"/>
      <c r="E39" s="51"/>
      <c r="F39" s="51"/>
      <c r="G39" s="51"/>
      <c r="H39" s="51"/>
      <c r="I39" s="51"/>
      <c r="J39" s="39"/>
      <c r="K39" s="39"/>
      <c r="L39" s="39"/>
      <c r="M39" s="47"/>
    </row>
    <row r="40" spans="2:13" ht="15" customHeight="1" thickBot="1" x14ac:dyDescent="0.3">
      <c r="B40" s="68"/>
      <c r="C40" s="68"/>
      <c r="D40" s="68"/>
      <c r="E40" s="68"/>
      <c r="F40" s="68"/>
      <c r="G40" s="68"/>
      <c r="H40" s="68"/>
      <c r="I40" s="51"/>
      <c r="J40" s="39"/>
      <c r="K40" s="39"/>
      <c r="L40" s="39"/>
      <c r="M40" s="47"/>
    </row>
    <row r="41" spans="2:13" ht="15" customHeight="1" thickTop="1" x14ac:dyDescent="0.25">
      <c r="H41" s="37"/>
      <c r="I41" s="37"/>
      <c r="J41" s="39"/>
      <c r="K41" s="39"/>
      <c r="L41" s="39"/>
    </row>
    <row r="42" spans="2:13" ht="15" customHeight="1" x14ac:dyDescent="0.25">
      <c r="B42" s="69" t="s">
        <v>542</v>
      </c>
      <c r="C42" s="51"/>
      <c r="D42" s="51"/>
      <c r="E42" s="51"/>
      <c r="F42" s="51"/>
      <c r="G42" s="51"/>
      <c r="H42" s="51"/>
      <c r="I42" s="51"/>
      <c r="J42" s="39"/>
      <c r="K42" s="39"/>
      <c r="L42" s="39"/>
      <c r="M42" s="47"/>
    </row>
    <row r="43" spans="2:13" ht="15" customHeight="1" x14ac:dyDescent="0.25">
      <c r="B43" s="51" t="s">
        <v>837</v>
      </c>
      <c r="C43" s="51"/>
      <c r="D43" s="51"/>
      <c r="E43" s="51"/>
      <c r="F43" s="51"/>
      <c r="G43" s="51"/>
      <c r="H43" s="51"/>
      <c r="I43" s="51"/>
      <c r="J43" s="39"/>
      <c r="K43" s="39"/>
      <c r="L43" s="39"/>
      <c r="M43" s="47"/>
    </row>
    <row r="44" spans="2:13" ht="15" customHeight="1" x14ac:dyDescent="0.25">
      <c r="B44" s="51" t="s">
        <v>839</v>
      </c>
      <c r="C44" s="51"/>
      <c r="D44" s="51"/>
      <c r="E44" s="51"/>
      <c r="F44" s="51"/>
      <c r="G44" s="51"/>
      <c r="H44" s="51"/>
      <c r="I44" s="51"/>
      <c r="J44" s="39"/>
      <c r="K44" s="39"/>
      <c r="L44" s="39"/>
      <c r="M44" s="47"/>
    </row>
    <row r="45" spans="2:13" ht="15" customHeight="1" x14ac:dyDescent="0.25">
      <c r="B45" s="51" t="s">
        <v>838</v>
      </c>
      <c r="C45" s="51"/>
      <c r="D45" s="51"/>
      <c r="E45" s="51"/>
      <c r="F45" s="51"/>
      <c r="G45" s="51"/>
      <c r="H45" s="51"/>
      <c r="I45" s="51"/>
      <c r="J45" s="39"/>
      <c r="K45" s="39"/>
      <c r="L45" s="39"/>
      <c r="M45" s="47"/>
    </row>
    <row r="46" spans="2:13" ht="15" customHeight="1" x14ac:dyDescent="0.25">
      <c r="B46" s="51"/>
      <c r="C46" s="51"/>
      <c r="D46" s="51"/>
      <c r="E46" s="51"/>
      <c r="F46" s="51"/>
      <c r="G46" s="51"/>
      <c r="H46" s="51"/>
      <c r="I46" s="51"/>
      <c r="J46" s="39"/>
      <c r="K46" s="39"/>
      <c r="L46" s="39"/>
      <c r="M46" s="47"/>
    </row>
    <row r="47" spans="2:13" ht="15" customHeight="1" x14ac:dyDescent="0.25">
      <c r="B47" s="51"/>
      <c r="C47" s="51"/>
      <c r="D47" s="51"/>
      <c r="E47" s="51"/>
      <c r="F47" s="51"/>
      <c r="G47" s="51"/>
      <c r="H47" s="51"/>
      <c r="I47" s="51"/>
      <c r="J47" s="39"/>
      <c r="K47" s="39"/>
      <c r="L47" s="39"/>
      <c r="M47" s="47"/>
    </row>
    <row r="48" spans="2:13" ht="15" customHeight="1" thickBot="1" x14ac:dyDescent="0.3">
      <c r="B48" s="68"/>
      <c r="C48" s="68"/>
      <c r="D48" s="68"/>
      <c r="E48" s="68"/>
      <c r="F48" s="68"/>
      <c r="G48" s="68"/>
      <c r="H48" s="68"/>
      <c r="I48" s="51"/>
      <c r="J48" s="39"/>
      <c r="K48" s="39"/>
      <c r="L48" s="39"/>
      <c r="M48" s="47"/>
    </row>
    <row r="49" spans="2:28" ht="28.5" customHeight="1" thickTop="1" x14ac:dyDescent="0.25">
      <c r="B49" s="48"/>
      <c r="C49" s="49"/>
      <c r="D49" s="49"/>
      <c r="E49" s="47"/>
      <c r="F49" s="47"/>
      <c r="G49" s="47"/>
      <c r="H49" s="47"/>
      <c r="I49" s="47"/>
      <c r="J49" s="39"/>
      <c r="K49" s="39"/>
      <c r="L49" s="39"/>
    </row>
    <row r="50" spans="2:28" ht="18" hidden="1" x14ac:dyDescent="0.25">
      <c r="F50" s="37"/>
      <c r="G50" s="37"/>
      <c r="H50" s="37"/>
      <c r="I50" s="37"/>
      <c r="J50" s="39"/>
      <c r="K50" s="39"/>
      <c r="L50" s="39"/>
    </row>
    <row r="51" spans="2:28" ht="18" hidden="1" x14ac:dyDescent="0.25">
      <c r="F51" s="37"/>
      <c r="G51" s="37"/>
      <c r="H51" s="37"/>
      <c r="I51" s="37"/>
      <c r="J51" s="39"/>
      <c r="K51" s="39"/>
      <c r="L51" s="39"/>
    </row>
    <row r="52" spans="2:28" ht="18" hidden="1" x14ac:dyDescent="0.25">
      <c r="F52" s="37"/>
      <c r="G52" s="37"/>
      <c r="H52" s="37"/>
      <c r="I52" s="37"/>
      <c r="J52" s="39"/>
      <c r="K52" s="39"/>
      <c r="L52" s="39"/>
    </row>
    <row r="53" spans="2:28" ht="18" hidden="1" x14ac:dyDescent="0.25">
      <c r="F53" s="37"/>
      <c r="G53" s="37"/>
      <c r="H53" s="37"/>
      <c r="I53" s="37"/>
      <c r="J53" s="39"/>
      <c r="K53" s="39"/>
      <c r="L53" s="39"/>
    </row>
    <row r="54" spans="2:28" ht="18" hidden="1" x14ac:dyDescent="0.25">
      <c r="F54" s="37"/>
      <c r="G54" s="37"/>
      <c r="H54" s="37"/>
      <c r="I54" s="37"/>
      <c r="J54" s="39"/>
      <c r="K54" s="39"/>
      <c r="L54" s="39"/>
    </row>
    <row r="55" spans="2:28" ht="24" hidden="1" customHeight="1" x14ac:dyDescent="0.25">
      <c r="F55" s="37"/>
      <c r="G55" s="37"/>
      <c r="H55" s="37"/>
      <c r="I55" s="37"/>
      <c r="J55" s="39"/>
      <c r="K55" s="39"/>
      <c r="L55" s="39"/>
    </row>
    <row r="56" spans="2:28" ht="18" hidden="1" x14ac:dyDescent="0.25">
      <c r="F56" s="37"/>
      <c r="G56" s="37"/>
      <c r="H56" s="37"/>
      <c r="I56" s="37"/>
      <c r="J56" s="39"/>
      <c r="K56" s="39"/>
      <c r="L56" s="39"/>
    </row>
    <row r="57" spans="2:28" ht="18" hidden="1" x14ac:dyDescent="0.25">
      <c r="F57" s="37"/>
      <c r="G57" s="37"/>
      <c r="H57" s="37"/>
      <c r="I57" s="37"/>
      <c r="J57" s="39"/>
      <c r="K57" s="39"/>
      <c r="L57" s="39"/>
    </row>
    <row r="58" spans="2:28" ht="24" hidden="1" customHeight="1" x14ac:dyDescent="0.25">
      <c r="F58" s="37"/>
      <c r="G58" s="37"/>
      <c r="H58" s="37"/>
      <c r="I58" s="37"/>
      <c r="J58" s="39"/>
      <c r="K58" s="39"/>
      <c r="L58" s="39"/>
    </row>
    <row r="59" spans="2:28" ht="18" hidden="1" x14ac:dyDescent="0.25">
      <c r="F59" s="37"/>
      <c r="G59" s="37"/>
      <c r="H59" s="37"/>
      <c r="I59" s="37"/>
      <c r="J59" s="39"/>
      <c r="K59" s="39"/>
      <c r="L59" s="39"/>
    </row>
    <row r="60" spans="2:28" ht="14.25" hidden="1" customHeight="1" x14ac:dyDescent="0.25">
      <c r="F60" s="37"/>
      <c r="G60" s="37"/>
      <c r="H60" s="37"/>
      <c r="I60" s="37"/>
      <c r="J60" s="39"/>
      <c r="K60" s="39"/>
      <c r="L60" s="39"/>
    </row>
    <row r="61" spans="2:28" ht="18" hidden="1" x14ac:dyDescent="0.25">
      <c r="F61" s="37"/>
      <c r="G61" s="37"/>
      <c r="H61" s="37"/>
      <c r="I61" s="37"/>
      <c r="J61" s="39"/>
      <c r="K61" s="39"/>
      <c r="L61" s="39"/>
    </row>
    <row r="62" spans="2:28" ht="18" hidden="1" x14ac:dyDescent="0.25">
      <c r="F62" s="37"/>
      <c r="G62" s="37"/>
      <c r="H62" s="37"/>
      <c r="I62" s="37"/>
      <c r="J62" s="39"/>
      <c r="K62" s="39"/>
      <c r="L62" s="39"/>
    </row>
    <row r="63" spans="2:28" s="70" customFormat="1" ht="18" hidden="1" x14ac:dyDescent="0.25">
      <c r="B63" s="37"/>
      <c r="C63" s="37"/>
      <c r="D63" s="37"/>
      <c r="E63" s="37"/>
      <c r="F63" s="37"/>
      <c r="G63" s="37"/>
      <c r="H63" s="37"/>
      <c r="I63" s="37"/>
      <c r="J63" s="39"/>
      <c r="K63" s="39"/>
      <c r="L63" s="39"/>
      <c r="M63" s="38"/>
      <c r="N63" s="37"/>
      <c r="O63" s="37"/>
      <c r="P63" s="37"/>
      <c r="Q63" s="37"/>
      <c r="R63" s="37"/>
      <c r="S63" s="37"/>
      <c r="T63" s="37"/>
      <c r="U63" s="37"/>
      <c r="V63" s="37"/>
      <c r="W63" s="37"/>
      <c r="X63" s="37"/>
      <c r="Y63" s="37"/>
      <c r="Z63" s="37"/>
      <c r="AA63" s="37"/>
      <c r="AB63" s="37"/>
    </row>
    <row r="64" spans="2:28" ht="18" hidden="1" x14ac:dyDescent="0.25">
      <c r="F64" s="37"/>
      <c r="G64" s="37"/>
      <c r="H64" s="37"/>
      <c r="I64" s="37"/>
      <c r="J64" s="39"/>
      <c r="K64" s="39"/>
      <c r="L64" s="39"/>
    </row>
    <row r="65" spans="2:28" ht="18" hidden="1" x14ac:dyDescent="0.25">
      <c r="B65" s="70"/>
      <c r="C65" s="70"/>
      <c r="D65" s="70"/>
      <c r="E65" s="70"/>
      <c r="F65" s="70"/>
      <c r="G65" s="70"/>
      <c r="H65" s="70"/>
      <c r="I65" s="70"/>
      <c r="J65" s="39"/>
      <c r="K65" s="39"/>
      <c r="L65" s="39"/>
      <c r="M65" s="71"/>
      <c r="N65" s="70"/>
      <c r="O65" s="70"/>
      <c r="P65" s="70"/>
      <c r="Q65" s="70"/>
      <c r="R65" s="70"/>
      <c r="S65" s="70"/>
      <c r="T65" s="70"/>
      <c r="U65" s="70"/>
      <c r="V65" s="70"/>
      <c r="W65" s="70"/>
      <c r="X65" s="70"/>
      <c r="Y65" s="70"/>
      <c r="Z65" s="70"/>
      <c r="AA65" s="70"/>
      <c r="AB65" s="70"/>
    </row>
    <row r="66" spans="2:28" ht="18" hidden="1" x14ac:dyDescent="0.25">
      <c r="F66" s="37"/>
      <c r="G66" s="37"/>
      <c r="H66" s="37"/>
      <c r="I66" s="37"/>
      <c r="J66" s="39"/>
      <c r="K66" s="39"/>
      <c r="L66" s="39"/>
    </row>
    <row r="67" spans="2:28" ht="18" hidden="1" x14ac:dyDescent="0.25">
      <c r="F67" s="37"/>
      <c r="G67" s="37"/>
      <c r="H67" s="37"/>
      <c r="I67" s="37"/>
      <c r="J67" s="39"/>
      <c r="K67" s="39"/>
      <c r="L67" s="39"/>
    </row>
    <row r="68" spans="2:28" ht="18" hidden="1" x14ac:dyDescent="0.25">
      <c r="F68" s="37"/>
      <c r="G68" s="37"/>
      <c r="H68" s="37"/>
      <c r="I68" s="37"/>
      <c r="J68" s="39"/>
      <c r="K68" s="39"/>
      <c r="L68" s="39"/>
    </row>
    <row r="69" spans="2:28" ht="18" hidden="1" x14ac:dyDescent="0.25">
      <c r="F69" s="37"/>
      <c r="G69" s="37"/>
      <c r="H69" s="37"/>
      <c r="I69" s="37"/>
      <c r="J69" s="39"/>
      <c r="K69" s="39"/>
      <c r="L69" s="39"/>
    </row>
    <row r="70" spans="2:28" ht="18" hidden="1" x14ac:dyDescent="0.25">
      <c r="F70" s="37"/>
      <c r="G70" s="37"/>
      <c r="H70" s="37"/>
      <c r="I70" s="37"/>
      <c r="J70" s="39"/>
      <c r="K70" s="39"/>
      <c r="L70" s="39"/>
    </row>
    <row r="71" spans="2:28" ht="18" hidden="1" x14ac:dyDescent="0.25">
      <c r="F71" s="37"/>
      <c r="G71" s="37"/>
      <c r="H71" s="37"/>
      <c r="I71" s="37"/>
      <c r="J71" s="39"/>
      <c r="K71" s="39"/>
      <c r="L71" s="39"/>
    </row>
    <row r="72" spans="2:28" ht="18" hidden="1" x14ac:dyDescent="0.25">
      <c r="F72" s="37"/>
      <c r="G72" s="37"/>
      <c r="H72" s="37"/>
      <c r="I72" s="37"/>
      <c r="J72" s="39"/>
      <c r="K72" s="39"/>
      <c r="L72" s="39"/>
    </row>
    <row r="73" spans="2:28" ht="18" hidden="1" x14ac:dyDescent="0.25">
      <c r="F73" s="37"/>
      <c r="G73" s="37"/>
      <c r="H73" s="37"/>
      <c r="I73" s="37"/>
      <c r="J73" s="39"/>
      <c r="K73" s="39"/>
      <c r="L73" s="39"/>
    </row>
    <row r="74" spans="2:28" ht="18" hidden="1" x14ac:dyDescent="0.25">
      <c r="F74" s="37"/>
      <c r="G74" s="37"/>
      <c r="H74" s="37"/>
      <c r="I74" s="37"/>
      <c r="J74" s="39"/>
      <c r="K74" s="39"/>
      <c r="L74" s="39"/>
    </row>
    <row r="75" spans="2:28" ht="18" hidden="1" x14ac:dyDescent="0.25">
      <c r="F75" s="37"/>
      <c r="G75" s="37"/>
      <c r="H75" s="37"/>
      <c r="I75" s="37"/>
      <c r="J75" s="39"/>
      <c r="K75" s="39"/>
      <c r="L75" s="39"/>
    </row>
    <row r="76" spans="2:28" ht="18" hidden="1" x14ac:dyDescent="0.25">
      <c r="F76" s="37"/>
      <c r="G76" s="37"/>
      <c r="H76" s="37"/>
      <c r="I76" s="37"/>
      <c r="J76" s="39"/>
      <c r="K76" s="39"/>
      <c r="L76" s="39"/>
    </row>
    <row r="77" spans="2:28" ht="18" hidden="1" x14ac:dyDescent="0.25">
      <c r="F77" s="37"/>
      <c r="G77" s="37"/>
      <c r="H77" s="37"/>
      <c r="I77" s="37"/>
      <c r="J77" s="39"/>
      <c r="K77" s="39"/>
      <c r="L77" s="39"/>
    </row>
    <row r="78" spans="2:28" ht="24" hidden="1" customHeight="1" x14ac:dyDescent="0.25">
      <c r="F78" s="37"/>
      <c r="G78" s="37"/>
      <c r="H78" s="37"/>
      <c r="I78" s="37"/>
      <c r="J78" s="39"/>
      <c r="K78" s="39"/>
      <c r="L78" s="39"/>
    </row>
    <row r="79" spans="2:28" ht="18" hidden="1" x14ac:dyDescent="0.25">
      <c r="F79" s="37"/>
      <c r="G79" s="37"/>
      <c r="H79" s="37"/>
      <c r="I79" s="37"/>
      <c r="J79" s="39"/>
      <c r="K79" s="39"/>
      <c r="L79" s="39"/>
    </row>
    <row r="80" spans="2:28" ht="24" hidden="1" customHeight="1" x14ac:dyDescent="0.25">
      <c r="F80" s="37"/>
      <c r="G80" s="37"/>
      <c r="H80" s="37"/>
      <c r="I80" s="37"/>
      <c r="J80" s="39"/>
      <c r="K80" s="39"/>
      <c r="L80" s="39"/>
    </row>
    <row r="81" spans="6:12" ht="18" hidden="1" x14ac:dyDescent="0.25">
      <c r="F81" s="37"/>
      <c r="G81" s="37"/>
      <c r="H81" s="37"/>
      <c r="I81" s="37"/>
      <c r="J81" s="39"/>
      <c r="K81" s="39"/>
      <c r="L81" s="39"/>
    </row>
    <row r="82" spans="6:12" ht="18" hidden="1" x14ac:dyDescent="0.25">
      <c r="F82" s="37"/>
      <c r="G82" s="37"/>
      <c r="H82" s="37"/>
      <c r="I82" s="37"/>
      <c r="J82" s="39"/>
      <c r="K82" s="39"/>
      <c r="L82" s="39"/>
    </row>
    <row r="83" spans="6:12" ht="18" hidden="1" x14ac:dyDescent="0.25">
      <c r="F83" s="37"/>
      <c r="G83" s="37"/>
      <c r="H83" s="37"/>
      <c r="I83" s="37"/>
      <c r="J83" s="39"/>
      <c r="K83" s="39"/>
      <c r="L83" s="39"/>
    </row>
    <row r="84" spans="6:12" ht="18" hidden="1" x14ac:dyDescent="0.25">
      <c r="F84" s="37"/>
      <c r="G84" s="37"/>
      <c r="H84" s="37"/>
      <c r="I84" s="37"/>
      <c r="J84" s="39"/>
      <c r="K84" s="39"/>
      <c r="L84" s="39"/>
    </row>
    <row r="85" spans="6:12" ht="18" hidden="1" x14ac:dyDescent="0.25">
      <c r="F85" s="37"/>
      <c r="G85" s="37"/>
      <c r="H85" s="37"/>
      <c r="I85" s="37"/>
      <c r="J85" s="39"/>
      <c r="K85" s="39"/>
      <c r="L85" s="39"/>
    </row>
    <row r="86" spans="6:12" ht="18" hidden="1" x14ac:dyDescent="0.25">
      <c r="F86" s="37"/>
      <c r="G86" s="37"/>
      <c r="H86" s="37"/>
      <c r="I86" s="37"/>
      <c r="J86" s="39"/>
      <c r="K86" s="39"/>
      <c r="L86" s="39"/>
    </row>
    <row r="87" spans="6:12" ht="18" hidden="1" x14ac:dyDescent="0.25">
      <c r="F87" s="37"/>
      <c r="G87" s="37"/>
      <c r="H87" s="37"/>
      <c r="I87" s="37"/>
      <c r="J87" s="39"/>
      <c r="K87" s="39"/>
      <c r="L87" s="39"/>
    </row>
    <row r="88" spans="6:12" ht="18" hidden="1" x14ac:dyDescent="0.25">
      <c r="F88" s="37"/>
      <c r="G88" s="37"/>
      <c r="H88" s="37"/>
      <c r="I88" s="37"/>
      <c r="J88" s="39"/>
      <c r="K88" s="39"/>
      <c r="L88" s="39"/>
    </row>
    <row r="89" spans="6:12" ht="18" hidden="1" x14ac:dyDescent="0.25">
      <c r="F89" s="37"/>
      <c r="G89" s="37"/>
      <c r="H89" s="37"/>
      <c r="I89" s="37"/>
      <c r="J89" s="39"/>
      <c r="K89" s="39"/>
      <c r="L89" s="39"/>
    </row>
    <row r="90" spans="6:12" ht="18" hidden="1" x14ac:dyDescent="0.25">
      <c r="F90" s="37"/>
      <c r="G90" s="37"/>
      <c r="H90" s="37"/>
      <c r="I90" s="37"/>
      <c r="J90" s="39"/>
      <c r="K90" s="39"/>
      <c r="L90" s="39"/>
    </row>
    <row r="91" spans="6:12" ht="18" hidden="1" x14ac:dyDescent="0.25">
      <c r="F91" s="37"/>
      <c r="G91" s="37"/>
      <c r="H91" s="37"/>
      <c r="I91" s="37"/>
      <c r="J91" s="39"/>
      <c r="K91" s="39"/>
      <c r="L91" s="39"/>
    </row>
    <row r="92" spans="6:12" ht="18" hidden="1" x14ac:dyDescent="0.25">
      <c r="F92" s="37"/>
      <c r="G92" s="37"/>
      <c r="H92" s="37"/>
      <c r="I92" s="37"/>
      <c r="J92" s="39"/>
      <c r="K92" s="39"/>
      <c r="L92" s="39"/>
    </row>
    <row r="93" spans="6:12" ht="18" hidden="1" x14ac:dyDescent="0.25">
      <c r="J93" s="39"/>
      <c r="K93" s="39"/>
      <c r="L93" s="39"/>
    </row>
    <row r="94" spans="6:12" ht="18" hidden="1" x14ac:dyDescent="0.25">
      <c r="J94" s="39"/>
      <c r="K94" s="39"/>
      <c r="L94" s="39"/>
    </row>
    <row r="95" spans="6:12" ht="18" hidden="1" x14ac:dyDescent="0.25">
      <c r="J95" s="39"/>
      <c r="K95" s="39"/>
      <c r="L95" s="39"/>
    </row>
    <row r="96" spans="6:12" ht="18" hidden="1" x14ac:dyDescent="0.25">
      <c r="J96" s="39"/>
      <c r="K96" s="39"/>
      <c r="L96" s="39"/>
    </row>
    <row r="97" spans="10:12" ht="18" hidden="1" x14ac:dyDescent="0.25">
      <c r="J97" s="39"/>
      <c r="K97" s="39"/>
      <c r="L97" s="39"/>
    </row>
    <row r="98" spans="10:12" ht="18" hidden="1" x14ac:dyDescent="0.25">
      <c r="J98" s="39"/>
      <c r="K98" s="39"/>
      <c r="L98" s="39"/>
    </row>
    <row r="99" spans="10:12" ht="18" hidden="1" x14ac:dyDescent="0.25">
      <c r="J99" s="39"/>
      <c r="K99" s="39"/>
      <c r="L99" s="39"/>
    </row>
    <row r="100" spans="10:12" ht="18" hidden="1" x14ac:dyDescent="0.25">
      <c r="J100" s="39"/>
      <c r="K100" s="39"/>
      <c r="L100" s="39"/>
    </row>
    <row r="101" spans="10:12" ht="18" hidden="1" x14ac:dyDescent="0.25">
      <c r="J101" s="39"/>
      <c r="K101" s="39"/>
      <c r="L101" s="39"/>
    </row>
    <row r="102" spans="10:12" ht="18" hidden="1" x14ac:dyDescent="0.25">
      <c r="J102" s="39"/>
      <c r="K102" s="39"/>
      <c r="L102" s="39"/>
    </row>
    <row r="103" spans="10:12" ht="18" hidden="1" x14ac:dyDescent="0.25">
      <c r="J103" s="39"/>
      <c r="K103" s="39"/>
      <c r="L103" s="39"/>
    </row>
    <row r="104" spans="10:12" ht="18" hidden="1" x14ac:dyDescent="0.25">
      <c r="J104" s="39"/>
      <c r="K104" s="39"/>
      <c r="L104" s="39"/>
    </row>
    <row r="105" spans="10:12" ht="18" hidden="1" x14ac:dyDescent="0.25">
      <c r="J105" s="39"/>
      <c r="K105" s="39"/>
      <c r="L105" s="39"/>
    </row>
    <row r="106" spans="10:12" ht="18" hidden="1" x14ac:dyDescent="0.25">
      <c r="J106" s="39"/>
      <c r="K106" s="39"/>
      <c r="L106" s="39"/>
    </row>
    <row r="107" spans="10:12" ht="18" hidden="1" x14ac:dyDescent="0.25">
      <c r="J107" s="39"/>
      <c r="K107" s="39"/>
      <c r="L107" s="39"/>
    </row>
    <row r="108" spans="10:12" ht="18" hidden="1" x14ac:dyDescent="0.25">
      <c r="J108" s="39"/>
      <c r="K108" s="39"/>
      <c r="L108" s="39"/>
    </row>
    <row r="109" spans="10:12" ht="18" hidden="1" x14ac:dyDescent="0.25">
      <c r="J109" s="39"/>
      <c r="K109" s="39"/>
      <c r="L109" s="39"/>
    </row>
    <row r="110" spans="10:12" ht="18" hidden="1" x14ac:dyDescent="0.25">
      <c r="J110" s="39"/>
      <c r="K110" s="39"/>
      <c r="L110" s="39"/>
    </row>
    <row r="111" spans="10:12" ht="18" hidden="1" x14ac:dyDescent="0.25">
      <c r="J111" s="39"/>
      <c r="K111" s="39"/>
      <c r="L111" s="39"/>
    </row>
    <row r="112" spans="10:12" ht="18" hidden="1" x14ac:dyDescent="0.25">
      <c r="J112" s="39"/>
      <c r="K112" s="39"/>
      <c r="L112" s="39"/>
    </row>
    <row r="113" spans="10:12" ht="18" hidden="1" x14ac:dyDescent="0.25">
      <c r="J113" s="39"/>
      <c r="K113" s="39"/>
      <c r="L113" s="39"/>
    </row>
    <row r="114" spans="10:12" ht="18" hidden="1" x14ac:dyDescent="0.25">
      <c r="J114" s="39"/>
      <c r="K114" s="39"/>
      <c r="L114" s="39"/>
    </row>
    <row r="115" spans="10:12" ht="18" hidden="1" x14ac:dyDescent="0.25">
      <c r="J115" s="39"/>
      <c r="K115" s="39"/>
      <c r="L115" s="39"/>
    </row>
    <row r="116" spans="10:12" ht="18" hidden="1" x14ac:dyDescent="0.25">
      <c r="J116" s="39"/>
      <c r="K116" s="39"/>
      <c r="L116" s="39"/>
    </row>
    <row r="117" spans="10:12" ht="18" hidden="1" x14ac:dyDescent="0.25">
      <c r="J117" s="39"/>
      <c r="K117" s="39"/>
      <c r="L117" s="39"/>
    </row>
    <row r="118" spans="10:12" ht="18" hidden="1" x14ac:dyDescent="0.25">
      <c r="J118" s="39"/>
      <c r="K118" s="39"/>
      <c r="L118" s="39"/>
    </row>
    <row r="119" spans="10:12" ht="18" hidden="1" x14ac:dyDescent="0.25">
      <c r="J119" s="39"/>
      <c r="K119" s="39"/>
      <c r="L119" s="39"/>
    </row>
    <row r="120" spans="10:12" ht="18" hidden="1" x14ac:dyDescent="0.25">
      <c r="J120" s="39"/>
      <c r="K120" s="39"/>
      <c r="L120" s="39"/>
    </row>
    <row r="121" spans="10:12" ht="18" hidden="1" x14ac:dyDescent="0.25">
      <c r="J121" s="39"/>
      <c r="K121" s="39"/>
      <c r="L121" s="39"/>
    </row>
    <row r="122" spans="10:12" ht="18" hidden="1" x14ac:dyDescent="0.25">
      <c r="J122" s="39"/>
      <c r="K122" s="39"/>
      <c r="L122" s="39"/>
    </row>
    <row r="123" spans="10:12" ht="18" hidden="1" x14ac:dyDescent="0.25">
      <c r="J123" s="39"/>
      <c r="K123" s="39"/>
      <c r="L123" s="39"/>
    </row>
    <row r="124" spans="10:12" ht="18" hidden="1" x14ac:dyDescent="0.25">
      <c r="J124" s="39"/>
      <c r="K124" s="39"/>
      <c r="L124" s="39"/>
    </row>
    <row r="125" spans="10:12" ht="18" hidden="1" x14ac:dyDescent="0.25">
      <c r="J125" s="39"/>
      <c r="K125" s="39"/>
      <c r="L125" s="39"/>
    </row>
    <row r="126" spans="10:12" ht="18" hidden="1" x14ac:dyDescent="0.25">
      <c r="J126" s="39"/>
      <c r="K126" s="39"/>
      <c r="L126" s="39"/>
    </row>
    <row r="127" spans="10:12" ht="18" hidden="1" x14ac:dyDescent="0.25">
      <c r="J127" s="39"/>
      <c r="K127" s="39"/>
      <c r="L127" s="39"/>
    </row>
    <row r="128" spans="10:12" ht="18" hidden="1" x14ac:dyDescent="0.25">
      <c r="J128" s="39"/>
      <c r="K128" s="39"/>
      <c r="L128" s="39"/>
    </row>
    <row r="129" spans="10:12" ht="18" hidden="1" x14ac:dyDescent="0.25">
      <c r="J129" s="39"/>
      <c r="K129" s="39"/>
      <c r="L129" s="39"/>
    </row>
    <row r="130" spans="10:12" ht="18" hidden="1" x14ac:dyDescent="0.25">
      <c r="J130" s="39"/>
      <c r="K130" s="39"/>
      <c r="L130" s="39"/>
    </row>
    <row r="131" spans="10:12" hidden="1" x14ac:dyDescent="0.2"/>
    <row r="132" spans="10:12" hidden="1" x14ac:dyDescent="0.2"/>
    <row r="133" spans="10:12" hidden="1" x14ac:dyDescent="0.2"/>
    <row r="134" spans="10:12" hidden="1" x14ac:dyDescent="0.2"/>
    <row r="135" spans="10:12" hidden="1" x14ac:dyDescent="0.2"/>
    <row r="136" spans="10:12" hidden="1" x14ac:dyDescent="0.2"/>
    <row r="137" spans="10:12" hidden="1" x14ac:dyDescent="0.2"/>
    <row r="138" spans="10:12" hidden="1" x14ac:dyDescent="0.2"/>
    <row r="139" spans="10:12" hidden="1" x14ac:dyDescent="0.2"/>
    <row r="140" spans="10:12" hidden="1" x14ac:dyDescent="0.2"/>
    <row r="141" spans="10:12" hidden="1" x14ac:dyDescent="0.2"/>
    <row r="142" spans="10:12" hidden="1" x14ac:dyDescent="0.2"/>
    <row r="143" spans="10:12" hidden="1" x14ac:dyDescent="0.2"/>
    <row r="144" spans="10:1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sheetData>
  <protectedRanges>
    <protectedRange sqref="E10 E12:G12 E6:E8 H16:I16 B34:G40 B43:I48 H19:H23 D4:E4" name="Input data_1"/>
  </protectedRanges>
  <dataConsolidate/>
  <mergeCells count="1">
    <mergeCell ref="B35:H36"/>
  </mergeCells>
  <dataValidations count="2">
    <dataValidation showInputMessage="1" showErrorMessage="1" sqref="E12"/>
    <dataValidation type="list" showInputMessage="1" showErrorMessage="1" sqref="IZ12 WVL983033 WLP983033 WBT983033 VRX983033 VIB983033 UYF983033 UOJ983033 UEN983033 TUR983033 TKV983033 TAZ983033 SRD983033 SHH983033 RXL983033 RNP983033 RDT983033 QTX983033 QKB983033 QAF983033 PQJ983033 PGN983033 OWR983033 OMV983033 OCZ983033 NTD983033 NJH983033 MZL983033 MPP983033 MFT983033 LVX983033 LMB983033 LCF983033 KSJ983033 KIN983033 JYR983033 JOV983033 JEZ983033 IVD983033 ILH983033 IBL983033 HRP983033 HHT983033 GXX983033 GOB983033 GEF983033 FUJ983033 FKN983033 FAR983033 EQV983033 EGZ983033 DXD983033 DNH983033 DDL983033 CTP983033 CJT983033 BZX983033 BQB983033 BGF983033 AWJ983033 AMN983033 ACR983033 SV983033 IZ983033 E983033 WVL917497 WLP917497 WBT917497 VRX917497 VIB917497 UYF917497 UOJ917497 UEN917497 TUR917497 TKV917497 TAZ917497 SRD917497 SHH917497 RXL917497 RNP917497 RDT917497 QTX917497 QKB917497 QAF917497 PQJ917497 PGN917497 OWR917497 OMV917497 OCZ917497 NTD917497 NJH917497 MZL917497 MPP917497 MFT917497 LVX917497 LMB917497 LCF917497 KSJ917497 KIN917497 JYR917497 JOV917497 JEZ917497 IVD917497 ILH917497 IBL917497 HRP917497 HHT917497 GXX917497 GOB917497 GEF917497 FUJ917497 FKN917497 FAR917497 EQV917497 EGZ917497 DXD917497 DNH917497 DDL917497 CTP917497 CJT917497 BZX917497 BQB917497 BGF917497 AWJ917497 AMN917497 ACR917497 SV917497 IZ917497 E917497 WVL851961 WLP851961 WBT851961 VRX851961 VIB851961 UYF851961 UOJ851961 UEN851961 TUR851961 TKV851961 TAZ851961 SRD851961 SHH851961 RXL851961 RNP851961 RDT851961 QTX851961 QKB851961 QAF851961 PQJ851961 PGN851961 OWR851961 OMV851961 OCZ851961 NTD851961 NJH851961 MZL851961 MPP851961 MFT851961 LVX851961 LMB851961 LCF851961 KSJ851961 KIN851961 JYR851961 JOV851961 JEZ851961 IVD851961 ILH851961 IBL851961 HRP851961 HHT851961 GXX851961 GOB851961 GEF851961 FUJ851961 FKN851961 FAR851961 EQV851961 EGZ851961 DXD851961 DNH851961 DDL851961 CTP851961 CJT851961 BZX851961 BQB851961 BGF851961 AWJ851961 AMN851961 ACR851961 SV851961 IZ851961 E851961 WVL786425 WLP786425 WBT786425 VRX786425 VIB786425 UYF786425 UOJ786425 UEN786425 TUR786425 TKV786425 TAZ786425 SRD786425 SHH786425 RXL786425 RNP786425 RDT786425 QTX786425 QKB786425 QAF786425 PQJ786425 PGN786425 OWR786425 OMV786425 OCZ786425 NTD786425 NJH786425 MZL786425 MPP786425 MFT786425 LVX786425 LMB786425 LCF786425 KSJ786425 KIN786425 JYR786425 JOV786425 JEZ786425 IVD786425 ILH786425 IBL786425 HRP786425 HHT786425 GXX786425 GOB786425 GEF786425 FUJ786425 FKN786425 FAR786425 EQV786425 EGZ786425 DXD786425 DNH786425 DDL786425 CTP786425 CJT786425 BZX786425 BQB786425 BGF786425 AWJ786425 AMN786425 ACR786425 SV786425 IZ786425 E786425 WVL720889 WLP720889 WBT720889 VRX720889 VIB720889 UYF720889 UOJ720889 UEN720889 TUR720889 TKV720889 TAZ720889 SRD720889 SHH720889 RXL720889 RNP720889 RDT720889 QTX720889 QKB720889 QAF720889 PQJ720889 PGN720889 OWR720889 OMV720889 OCZ720889 NTD720889 NJH720889 MZL720889 MPP720889 MFT720889 LVX720889 LMB720889 LCF720889 KSJ720889 KIN720889 JYR720889 JOV720889 JEZ720889 IVD720889 ILH720889 IBL720889 HRP720889 HHT720889 GXX720889 GOB720889 GEF720889 FUJ720889 FKN720889 FAR720889 EQV720889 EGZ720889 DXD720889 DNH720889 DDL720889 CTP720889 CJT720889 BZX720889 BQB720889 BGF720889 AWJ720889 AMN720889 ACR720889 SV720889 IZ720889 E720889 WVL655353 WLP655353 WBT655353 VRX655353 VIB655353 UYF655353 UOJ655353 UEN655353 TUR655353 TKV655353 TAZ655353 SRD655353 SHH655353 RXL655353 RNP655353 RDT655353 QTX655353 QKB655353 QAF655353 PQJ655353 PGN655353 OWR655353 OMV655353 OCZ655353 NTD655353 NJH655353 MZL655353 MPP655353 MFT655353 LVX655353 LMB655353 LCF655353 KSJ655353 KIN655353 JYR655353 JOV655353 JEZ655353 IVD655353 ILH655353 IBL655353 HRP655353 HHT655353 GXX655353 GOB655353 GEF655353 FUJ655353 FKN655353 FAR655353 EQV655353 EGZ655353 DXD655353 DNH655353 DDL655353 CTP655353 CJT655353 BZX655353 BQB655353 BGF655353 AWJ655353 AMN655353 ACR655353 SV655353 IZ655353 E655353 WVL589817 WLP589817 WBT589817 VRX589817 VIB589817 UYF589817 UOJ589817 UEN589817 TUR589817 TKV589817 TAZ589817 SRD589817 SHH589817 RXL589817 RNP589817 RDT589817 QTX589817 QKB589817 QAF589817 PQJ589817 PGN589817 OWR589817 OMV589817 OCZ589817 NTD589817 NJH589817 MZL589817 MPP589817 MFT589817 LVX589817 LMB589817 LCF589817 KSJ589817 KIN589817 JYR589817 JOV589817 JEZ589817 IVD589817 ILH589817 IBL589817 HRP589817 HHT589817 GXX589817 GOB589817 GEF589817 FUJ589817 FKN589817 FAR589817 EQV589817 EGZ589817 DXD589817 DNH589817 DDL589817 CTP589817 CJT589817 BZX589817 BQB589817 BGF589817 AWJ589817 AMN589817 ACR589817 SV589817 IZ589817 E589817 WVL524281 WLP524281 WBT524281 VRX524281 VIB524281 UYF524281 UOJ524281 UEN524281 TUR524281 TKV524281 TAZ524281 SRD524281 SHH524281 RXL524281 RNP524281 RDT524281 QTX524281 QKB524281 QAF524281 PQJ524281 PGN524281 OWR524281 OMV524281 OCZ524281 NTD524281 NJH524281 MZL524281 MPP524281 MFT524281 LVX524281 LMB524281 LCF524281 KSJ524281 KIN524281 JYR524281 JOV524281 JEZ524281 IVD524281 ILH524281 IBL524281 HRP524281 HHT524281 GXX524281 GOB524281 GEF524281 FUJ524281 FKN524281 FAR524281 EQV524281 EGZ524281 DXD524281 DNH524281 DDL524281 CTP524281 CJT524281 BZX524281 BQB524281 BGF524281 AWJ524281 AMN524281 ACR524281 SV524281 IZ524281 E524281 WVL458745 WLP458745 WBT458745 VRX458745 VIB458745 UYF458745 UOJ458745 UEN458745 TUR458745 TKV458745 TAZ458745 SRD458745 SHH458745 RXL458745 RNP458745 RDT458745 QTX458745 QKB458745 QAF458745 PQJ458745 PGN458745 OWR458745 OMV458745 OCZ458745 NTD458745 NJH458745 MZL458745 MPP458745 MFT458745 LVX458745 LMB458745 LCF458745 KSJ458745 KIN458745 JYR458745 JOV458745 JEZ458745 IVD458745 ILH458745 IBL458745 HRP458745 HHT458745 GXX458745 GOB458745 GEF458745 FUJ458745 FKN458745 FAR458745 EQV458745 EGZ458745 DXD458745 DNH458745 DDL458745 CTP458745 CJT458745 BZX458745 BQB458745 BGF458745 AWJ458745 AMN458745 ACR458745 SV458745 IZ458745 E458745 WVL393209 WLP393209 WBT393209 VRX393209 VIB393209 UYF393209 UOJ393209 UEN393209 TUR393209 TKV393209 TAZ393209 SRD393209 SHH393209 RXL393209 RNP393209 RDT393209 QTX393209 QKB393209 QAF393209 PQJ393209 PGN393209 OWR393209 OMV393209 OCZ393209 NTD393209 NJH393209 MZL393209 MPP393209 MFT393209 LVX393209 LMB393209 LCF393209 KSJ393209 KIN393209 JYR393209 JOV393209 JEZ393209 IVD393209 ILH393209 IBL393209 HRP393209 HHT393209 GXX393209 GOB393209 GEF393209 FUJ393209 FKN393209 FAR393209 EQV393209 EGZ393209 DXD393209 DNH393209 DDL393209 CTP393209 CJT393209 BZX393209 BQB393209 BGF393209 AWJ393209 AMN393209 ACR393209 SV393209 IZ393209 E393209 WVL327673 WLP327673 WBT327673 VRX327673 VIB327673 UYF327673 UOJ327673 UEN327673 TUR327673 TKV327673 TAZ327673 SRD327673 SHH327673 RXL327673 RNP327673 RDT327673 QTX327673 QKB327673 QAF327673 PQJ327673 PGN327673 OWR327673 OMV327673 OCZ327673 NTD327673 NJH327673 MZL327673 MPP327673 MFT327673 LVX327673 LMB327673 LCF327673 KSJ327673 KIN327673 JYR327673 JOV327673 JEZ327673 IVD327673 ILH327673 IBL327673 HRP327673 HHT327673 GXX327673 GOB327673 GEF327673 FUJ327673 FKN327673 FAR327673 EQV327673 EGZ327673 DXD327673 DNH327673 DDL327673 CTP327673 CJT327673 BZX327673 BQB327673 BGF327673 AWJ327673 AMN327673 ACR327673 SV327673 IZ327673 E327673 WVL262137 WLP262137 WBT262137 VRX262137 VIB262137 UYF262137 UOJ262137 UEN262137 TUR262137 TKV262137 TAZ262137 SRD262137 SHH262137 RXL262137 RNP262137 RDT262137 QTX262137 QKB262137 QAF262137 PQJ262137 PGN262137 OWR262137 OMV262137 OCZ262137 NTD262137 NJH262137 MZL262137 MPP262137 MFT262137 LVX262137 LMB262137 LCF262137 KSJ262137 KIN262137 JYR262137 JOV262137 JEZ262137 IVD262137 ILH262137 IBL262137 HRP262137 HHT262137 GXX262137 GOB262137 GEF262137 FUJ262137 FKN262137 FAR262137 EQV262137 EGZ262137 DXD262137 DNH262137 DDL262137 CTP262137 CJT262137 BZX262137 BQB262137 BGF262137 AWJ262137 AMN262137 ACR262137 SV262137 IZ262137 E262137 WVL196601 WLP196601 WBT196601 VRX196601 VIB196601 UYF196601 UOJ196601 UEN196601 TUR196601 TKV196601 TAZ196601 SRD196601 SHH196601 RXL196601 RNP196601 RDT196601 QTX196601 QKB196601 QAF196601 PQJ196601 PGN196601 OWR196601 OMV196601 OCZ196601 NTD196601 NJH196601 MZL196601 MPP196601 MFT196601 LVX196601 LMB196601 LCF196601 KSJ196601 KIN196601 JYR196601 JOV196601 JEZ196601 IVD196601 ILH196601 IBL196601 HRP196601 HHT196601 GXX196601 GOB196601 GEF196601 FUJ196601 FKN196601 FAR196601 EQV196601 EGZ196601 DXD196601 DNH196601 DDL196601 CTP196601 CJT196601 BZX196601 BQB196601 BGF196601 AWJ196601 AMN196601 ACR196601 SV196601 IZ196601 E196601 WVL131065 WLP131065 WBT131065 VRX131065 VIB131065 UYF131065 UOJ131065 UEN131065 TUR131065 TKV131065 TAZ131065 SRD131065 SHH131065 RXL131065 RNP131065 RDT131065 QTX131065 QKB131065 QAF131065 PQJ131065 PGN131065 OWR131065 OMV131065 OCZ131065 NTD131065 NJH131065 MZL131065 MPP131065 MFT131065 LVX131065 LMB131065 LCF131065 KSJ131065 KIN131065 JYR131065 JOV131065 JEZ131065 IVD131065 ILH131065 IBL131065 HRP131065 HHT131065 GXX131065 GOB131065 GEF131065 FUJ131065 FKN131065 FAR131065 EQV131065 EGZ131065 DXD131065 DNH131065 DDL131065 CTP131065 CJT131065 BZX131065 BQB131065 BGF131065 AWJ131065 AMN131065 ACR131065 SV131065 IZ131065 E131065 WVL65529 WLP65529 WBT65529 VRX65529 VIB65529 UYF65529 UOJ65529 UEN65529 TUR65529 TKV65529 TAZ65529 SRD65529 SHH65529 RXL65529 RNP65529 RDT65529 QTX65529 QKB65529 QAF65529 PQJ65529 PGN65529 OWR65529 OMV65529 OCZ65529 NTD65529 NJH65529 MZL65529 MPP65529 MFT65529 LVX65529 LMB65529 LCF65529 KSJ65529 KIN65529 JYR65529 JOV65529 JEZ65529 IVD65529 ILH65529 IBL65529 HRP65529 HHT65529 GXX65529 GOB65529 GEF65529 FUJ65529 FKN65529 FAR65529 EQV65529 EGZ65529 DXD65529 DNH65529 DDL65529 CTP65529 CJT65529 BZX65529 BQB65529 BGF65529 AWJ65529 AMN65529 ACR65529 SV65529 IZ65529 E6552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formula1>#REF!</formula1>
    </dataValidation>
  </dataValidations>
  <pageMargins left="0.7" right="0.68" top="0.75" bottom="0.75"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3bee4c5c-8f43-4f7f-9637-07f983ecca3d" ContentTypeId="0x0101007BD61AFCC8A643B8924AB3F7EE18260102" PreviousValue="false"/>
</file>

<file path=customXml/item4.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07B00C403447B443A85BBECB6883BAF2" ma:contentTypeVersion="16" ma:contentTypeDescription="Base content type for project documents" ma:contentTypeScope="" ma:versionID="9ecfb97580ff1c3869dd9ad815cede2b">
  <xsd:schema xmlns:xsd="http://www.w3.org/2001/XMLSchema" xmlns:xs="http://www.w3.org/2001/XMLSchema" xmlns:p="http://schemas.microsoft.com/office/2006/metadata/properties" xmlns:ns1="http://schemas.microsoft.com/sharepoint/v3" xmlns:ns2="980b2c76-4eb4-4926-991a-bb246786b55e" targetNamespace="http://schemas.microsoft.com/office/2006/metadata/properties" ma:root="true" ma:fieldsID="a6d79d3360fd7e79b86435f080ea67d7" ns1:_="" ns2:_="">
    <xsd:import namespace="http://schemas.microsoft.com/sharepoint/v3"/>
    <xsd:import namespace="980b2c76-4eb4-4926-991a-bb246786b55e"/>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8bcbf31-a565-4d65-bc28-3f23800bc545}" ma:internalName="TaxCatchAll" ma:showField="CatchAllData"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8bcbf31-a565-4d65-bc28-3f23800bc545}" ma:internalName="TaxCatchAllLabel" ma:readOnly="true" ma:showField="CatchAllDataLabel"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KeywordTaxHTField xmlns="980b2c76-4eb4-4926-991a-bb246786b55e">
      <Terms xmlns="http://schemas.microsoft.com/office/infopath/2007/PartnerControls"/>
    </TaxKeywordTaxHTField>
    <LikesCount xmlns="http://schemas.microsoft.com/sharepoint/v3" xsi:nil="true"/>
    <Ratings xmlns="http://schemas.microsoft.com/sharepoint/v3" xsi:nil="true"/>
    <LikedBy xmlns="http://schemas.microsoft.com/sharepoint/v3">
      <UserInfo>
        <DisplayName/>
        <AccountId xsi:nil="true"/>
        <AccountType/>
      </UserInfo>
    </LikedBy>
    <TaxCatchAll xmlns="980b2c76-4eb4-4926-991a-bb246786b55e"/>
    <RatedBy xmlns="http://schemas.microsoft.com/sharepoint/v3">
      <UserInfo>
        <DisplayName/>
        <AccountId xsi:nil="true"/>
        <AccountType/>
      </UserInfo>
    </RatedBy>
    <_dlc_DocId xmlns="980b2c76-4eb4-4926-991a-bb246786b55e">382900-1703306554-3659</_dlc_DocId>
    <_dlc_DocIdUrl xmlns="980b2c76-4eb4-4926-991a-bb246786b55e">
      <Url>https://mottmac.sharepoint.com/teams/pj-b1092/_layouts/15/DocIdRedir.aspx?ID=382900-1703306554-3659</Url>
      <Description>382900-1703306554-3659</Description>
    </_dlc_DocIdUrl>
  </documentManagement>
</p:properties>
</file>

<file path=customXml/itemProps1.xml><?xml version="1.0" encoding="utf-8"?>
<ds:datastoreItem xmlns:ds="http://schemas.openxmlformats.org/officeDocument/2006/customXml" ds:itemID="{4CEB2922-132A-47BB-A275-AB7CE8AB35C6}">
  <ds:schemaRefs>
    <ds:schemaRef ds:uri="http://schemas.microsoft.com/sharepoint/v3/contenttype/forms"/>
  </ds:schemaRefs>
</ds:datastoreItem>
</file>

<file path=customXml/itemProps2.xml><?xml version="1.0" encoding="utf-8"?>
<ds:datastoreItem xmlns:ds="http://schemas.openxmlformats.org/officeDocument/2006/customXml" ds:itemID="{E6321768-EC07-4368-80FD-CE0E63CB570A}">
  <ds:schemaRefs>
    <ds:schemaRef ds:uri="http://schemas.microsoft.com/sharepoint/events"/>
  </ds:schemaRefs>
</ds:datastoreItem>
</file>

<file path=customXml/itemProps3.xml><?xml version="1.0" encoding="utf-8"?>
<ds:datastoreItem xmlns:ds="http://schemas.openxmlformats.org/officeDocument/2006/customXml" ds:itemID="{65DA35B0-5C9B-4F57-8136-01A4FE941685}">
  <ds:schemaRefs>
    <ds:schemaRef ds:uri="Microsoft.SharePoint.Taxonomy.ContentTypeSync"/>
  </ds:schemaRefs>
</ds:datastoreItem>
</file>

<file path=customXml/itemProps4.xml><?xml version="1.0" encoding="utf-8"?>
<ds:datastoreItem xmlns:ds="http://schemas.openxmlformats.org/officeDocument/2006/customXml" ds:itemID="{EC0056F2-0EE4-454A-AD6F-EB4B0B95D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0b2c76-4eb4-4926-991a-bb246786b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91488D6-0DE4-45E1-93D2-8B542848ADD8}">
  <ds:schemaRefs>
    <ds:schemaRef ds:uri="http://schemas.openxmlformats.org/package/2006/metadata/core-properties"/>
    <ds:schemaRef ds:uri="http://schemas.microsoft.com/office/2006/metadata/properties"/>
    <ds:schemaRef ds:uri="http://purl.org/dc/dcmitype/"/>
    <ds:schemaRef ds:uri="980b2c76-4eb4-4926-991a-bb246786b55e"/>
    <ds:schemaRef ds:uri="http://purl.org/dc/elements/1.1/"/>
    <ds:schemaRef ds:uri="http://schemas.microsoft.com/office/2006/documentManagement/types"/>
    <ds:schemaRef ds:uri="http://www.w3.org/XML/1998/namespace"/>
    <ds:schemaRef ds:uri="http://schemas.microsoft.com/office/infopath/2007/PartnerControls"/>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1541</vt:i4>
      </vt:variant>
    </vt:vector>
  </HeadingPairs>
  <TitlesOfParts>
    <vt:vector size="1546" baseType="lpstr">
      <vt:lpstr>README</vt:lpstr>
      <vt:lpstr>Input</vt:lpstr>
      <vt:lpstr>Calculation</vt:lpstr>
      <vt:lpstr>QA</vt:lpstr>
      <vt:lpstr>Output - worksheet 1</vt:lpstr>
      <vt:lpstr>amenity_1_to_3_dB_band_45</vt:lpstr>
      <vt:lpstr>amenity_1_to_3_dB_band_45_48</vt:lpstr>
      <vt:lpstr>amenity_1_to_3_dB_band_48_51</vt:lpstr>
      <vt:lpstr>amenity_1_to_3_dB_band_51_54</vt:lpstr>
      <vt:lpstr>amenity_1_to_3_dB_band_54_57</vt:lpstr>
      <vt:lpstr>amenity_1_to_3_dB_band_57_60</vt:lpstr>
      <vt:lpstr>amenity_1_to_3_dB_band_60_63</vt:lpstr>
      <vt:lpstr>amenity_1_to_3_dB_band_63_66</vt:lpstr>
      <vt:lpstr>amenity_1_to_3_dB_band_66_69</vt:lpstr>
      <vt:lpstr>amenity_1_to_3_dB_band_69_72</vt:lpstr>
      <vt:lpstr>amenity_1_to_3_dB_band_72_75</vt:lpstr>
      <vt:lpstr>amenity_1_to_3_dB_band_75_78</vt:lpstr>
      <vt:lpstr>amenity_1_to_3_dB_band_78_81</vt:lpstr>
      <vt:lpstr>Amenity_values_1dB_table</vt:lpstr>
      <vt:lpstr>Amenity_values_3dB_table</vt:lpstr>
      <vt:lpstr>Amenity_values_aviation_1dB</vt:lpstr>
      <vt:lpstr>Amenity_values_aviation_1dB_in</vt:lpstr>
      <vt:lpstr>Amenity_values_rail_1dB</vt:lpstr>
      <vt:lpstr>Amenity_values_rail_1dB_in</vt:lpstr>
      <vt:lpstr>Amenity_values_road_1dB</vt:lpstr>
      <vt:lpstr>Amenity_values_road_1dB_in</vt:lpstr>
      <vt:lpstr>AMI_1_to_3_dB_band_45</vt:lpstr>
      <vt:lpstr>AMI_1_to_3_dB_band_45_48</vt:lpstr>
      <vt:lpstr>AMI_1_to_3_dB_band_48_51</vt:lpstr>
      <vt:lpstr>AMI_1_to_3_dB_band_51_54</vt:lpstr>
      <vt:lpstr>AMI_1_to_3_dB_band_54_57</vt:lpstr>
      <vt:lpstr>AMI_1_to_3_dB_band_57_60</vt:lpstr>
      <vt:lpstr>AMI_1_to_3_dB_band_60_63</vt:lpstr>
      <vt:lpstr>AMI_1_to_3_dB_band_63_66</vt:lpstr>
      <vt:lpstr>AMI_1_to_3_dB_band_66_69</vt:lpstr>
      <vt:lpstr>AMI_1_to_3_dB_band_69_72</vt:lpstr>
      <vt:lpstr>AMI_1_to_3_dB_band_72_75</vt:lpstr>
      <vt:lpstr>AMI_1_to_3_dB_band_75_78</vt:lpstr>
      <vt:lpstr>AMI_1_to_3_dB_band_78_81</vt:lpstr>
      <vt:lpstr>AMI_values_1dB_table</vt:lpstr>
      <vt:lpstr>AMI_values_3dB_table</vt:lpstr>
      <vt:lpstr>AMI_values_aviation_1dB</vt:lpstr>
      <vt:lpstr>AMI_values_aviation_1dB_in</vt:lpstr>
      <vt:lpstr>AMI_values_rail_1dB</vt:lpstr>
      <vt:lpstr>AMI_values_rail_1dB_in</vt:lpstr>
      <vt:lpstr>AMI_values_road_1dB</vt:lpstr>
      <vt:lpstr>AMI_values_road_1dB_in</vt:lpstr>
      <vt:lpstr>Annual_amenity_valuation</vt:lpstr>
      <vt:lpstr>Annual_amenity_valuation_hh_adj</vt:lpstr>
      <vt:lpstr>Annual_AMI_valuation</vt:lpstr>
      <vt:lpstr>Annual_AMI_valuation_hh_adj</vt:lpstr>
      <vt:lpstr>Annual_dementia_valuation</vt:lpstr>
      <vt:lpstr>Annual_dementia_valuation_hh_adj</vt:lpstr>
      <vt:lpstr>Annual_sleep_disturbance_valuation</vt:lpstr>
      <vt:lpstr>Annual_sleep_disturbance_valuation_hh_adj</vt:lpstr>
      <vt:lpstr>Annual_stroke_valuation</vt:lpstr>
      <vt:lpstr>Annual_stroke_valuation_hh_adj</vt:lpstr>
      <vt:lpstr>Appraisal_period</vt:lpstr>
      <vt:lpstr>Appraisal_period_length</vt:lpstr>
      <vt:lpstr>Appraisal_period_length_in</vt:lpstr>
      <vt:lpstr>Aviation_Lnight_mask</vt:lpstr>
      <vt:lpstr>Aviation_mask</vt:lpstr>
      <vt:lpstr>Current_year</vt:lpstr>
      <vt:lpstr>Current_year_in</vt:lpstr>
      <vt:lpstr>Default_HH_size</vt:lpstr>
      <vt:lpstr>Default_HH_size_in</vt:lpstr>
      <vt:lpstr>dementia_1_to_3_dB_band_45</vt:lpstr>
      <vt:lpstr>dementia_1_to_3_dB_band_45_48</vt:lpstr>
      <vt:lpstr>dementia_1_to_3_dB_band_48_51</vt:lpstr>
      <vt:lpstr>dementia_1_to_3_dB_band_51_54</vt:lpstr>
      <vt:lpstr>dementia_1_to_3_dB_band_54_57</vt:lpstr>
      <vt:lpstr>dementia_1_to_3_dB_band_57_60</vt:lpstr>
      <vt:lpstr>dementia_1_to_3_dB_band_60_63</vt:lpstr>
      <vt:lpstr>dementia_1_to_3_dB_band_63_66</vt:lpstr>
      <vt:lpstr>dementia_1_to_3_dB_band_66_69</vt:lpstr>
      <vt:lpstr>dementia_1_to_3_dB_band_69_72</vt:lpstr>
      <vt:lpstr>dementia_1_to_3_dB_band_72_75</vt:lpstr>
      <vt:lpstr>dementia_1_to_3_dB_band_75_78</vt:lpstr>
      <vt:lpstr>dementia_1_to_3_dB_band_78_81</vt:lpstr>
      <vt:lpstr>Dementia_values_1dB_table</vt:lpstr>
      <vt:lpstr>Dementia_values_3dB_table</vt:lpstr>
      <vt:lpstr>Dementia_values_aviation_1dB</vt:lpstr>
      <vt:lpstr>Dementia_values_aviation_1db_in</vt:lpstr>
      <vt:lpstr>Dementia_values_rail_1dB</vt:lpstr>
      <vt:lpstr>Dementia_values_rail_1db_in</vt:lpstr>
      <vt:lpstr>Dementia_values_road_1dB</vt:lpstr>
      <vt:lpstr>Dementia_values_road_1db_in</vt:lpstr>
      <vt:lpstr>Difference_amenity_cost</vt:lpstr>
      <vt:lpstr>Difference_AMI_cost</vt:lpstr>
      <vt:lpstr>Difference_dementia_cost</vt:lpstr>
      <vt:lpstr>Difference_sleep_disturbance_cost</vt:lpstr>
      <vt:lpstr>Difference_stroke_cost</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Discounted_annual_amenity_valuation</vt:lpstr>
      <vt:lpstr>Discounted_annual_AMI_valuation</vt:lpstr>
      <vt:lpstr>Discounted_annual_dementia_valuation</vt:lpstr>
      <vt:lpstr>Discounted_annual_sleep_disturbance_valuation</vt:lpstr>
      <vt:lpstr>Discounted_annual_stroke_valuation</vt:lpstr>
      <vt:lpstr>Extrapolation_amenity_cost_mask</vt:lpstr>
      <vt:lpstr>Extrapolation_AMI_cost_mask</vt:lpstr>
      <vt:lpstr>Extrapolation_dementia_cost_mask</vt:lpstr>
      <vt:lpstr>Extrapolation_mask</vt:lpstr>
      <vt:lpstr>Extrapolation_sleep_disturbance_cost_mask</vt:lpstr>
      <vt:lpstr>Extrapolation_sleep_disturbance_mask</vt:lpstr>
      <vt:lpstr>Extrapolation_stroke_cost_mask</vt:lpstr>
      <vt:lpstr>Forecast_and_opening_year_difference</vt:lpstr>
      <vt:lpstr>Forecast_HH_decreased_noise_day</vt:lpstr>
      <vt:lpstr>Forecast_HH_decreased_noise_night</vt:lpstr>
      <vt:lpstr>Forecast_HH_increased_noise_day</vt:lpstr>
      <vt:lpstr>Forecast_HH_increased_noise_night</vt:lpstr>
      <vt:lpstr>Forecast_without_45_48_with_xx</vt:lpstr>
      <vt:lpstr>Forecast_without_45_48_with_xx_amenity_cost</vt:lpstr>
      <vt:lpstr>Forecast_without_45_48_with_xx_AMI_cost</vt:lpstr>
      <vt:lpstr>Forecast_without_45_48_with_xx_composite_cost</vt:lpstr>
      <vt:lpstr>Forecast_without_45_48_with_xx_cost</vt:lpstr>
      <vt:lpstr>Forecast_without_45_48_with_xx_dementia_cost</vt:lpstr>
      <vt:lpstr>Forecast_without_45_48_with_xx_in</vt:lpstr>
      <vt:lpstr>Forecast_without_45_48_with_xx_night</vt:lpstr>
      <vt:lpstr>Forecast_without_45_48_with_xx_night_in</vt:lpstr>
      <vt:lpstr>Forecast_without_45_48_with_xx_sleep_disturbance_cost</vt:lpstr>
      <vt:lpstr>Forecast_without_45_48_with_xx_stroke_cost</vt:lpstr>
      <vt:lpstr>Forecast_without_45_with_xx</vt:lpstr>
      <vt:lpstr>Forecast_without_45_with_xx_amenity_cost</vt:lpstr>
      <vt:lpstr>Forecast_without_45_with_xx_AMI_cost</vt:lpstr>
      <vt:lpstr>Forecast_without_45_with_xx_composite_cost</vt:lpstr>
      <vt:lpstr>Forecast_without_45_with_xx_cost</vt:lpstr>
      <vt:lpstr>Forecast_without_45_with_xx_dementia_cost</vt:lpstr>
      <vt:lpstr>Forecast_without_45_with_xx_in</vt:lpstr>
      <vt:lpstr>Forecast_without_45_with_xx_night</vt:lpstr>
      <vt:lpstr>Forecast_without_45_with_xx_night_in</vt:lpstr>
      <vt:lpstr>Forecast_without_45_with_xx_sleep_disturbance_cost</vt:lpstr>
      <vt:lpstr>Forecast_without_45_with_xx_stroke_cost</vt:lpstr>
      <vt:lpstr>Forecast_without_48_51_with_xx</vt:lpstr>
      <vt:lpstr>Forecast_without_48_51_with_xx_amenity_cost</vt:lpstr>
      <vt:lpstr>Forecast_without_48_51_with_xx_AMI_cost</vt:lpstr>
      <vt:lpstr>Forecast_without_48_51_with_xx_composite_cost</vt:lpstr>
      <vt:lpstr>Forecast_without_48_51_with_xx_cost</vt:lpstr>
      <vt:lpstr>Forecast_without_48_51_with_xx_dementia_cost</vt:lpstr>
      <vt:lpstr>Forecast_without_48_51_with_xx_in</vt:lpstr>
      <vt:lpstr>Forecast_without_48_51_with_xx_night</vt:lpstr>
      <vt:lpstr>Forecast_without_48_51_with_xx_night_in</vt:lpstr>
      <vt:lpstr>Forecast_without_48_51_with_xx_sleep_disturbance_cost</vt:lpstr>
      <vt:lpstr>Forecast_without_48_51_with_xx_stroke_cost</vt:lpstr>
      <vt:lpstr>Forecast_without_51_54_with_xx</vt:lpstr>
      <vt:lpstr>Forecast_without_51_54_with_xx_amenity_cost</vt:lpstr>
      <vt:lpstr>Forecast_without_51_54_with_xx_AMI_cost</vt:lpstr>
      <vt:lpstr>Forecast_without_51_54_with_xx_composite_cost</vt:lpstr>
      <vt:lpstr>Forecast_without_51_54_with_xx_cost</vt:lpstr>
      <vt:lpstr>Forecast_without_51_54_with_xx_dementia_cost</vt:lpstr>
      <vt:lpstr>Forecast_without_51_54_with_xx_in</vt:lpstr>
      <vt:lpstr>Forecast_without_51_54_with_xx_night</vt:lpstr>
      <vt:lpstr>Forecast_without_51_54_with_xx_night_in</vt:lpstr>
      <vt:lpstr>Forecast_without_51_54_with_xx_sleep_disturbance_cost</vt:lpstr>
      <vt:lpstr>Forecast_without_51_54_with_xx_stroke_cost</vt:lpstr>
      <vt:lpstr>Forecast_without_54_57_with_xx</vt:lpstr>
      <vt:lpstr>Forecast_without_54_57_with_xx_amenity_cost</vt:lpstr>
      <vt:lpstr>Forecast_without_54_57_with_xx_AMI_cost</vt:lpstr>
      <vt:lpstr>Forecast_without_54_57_with_xx_composite_cost</vt:lpstr>
      <vt:lpstr>Forecast_without_54_57_with_xx_cost</vt:lpstr>
      <vt:lpstr>Forecast_without_54_57_with_xx_dementia_cost</vt:lpstr>
      <vt:lpstr>Forecast_without_54_57_with_xx_in</vt:lpstr>
      <vt:lpstr>Forecast_without_54_57_with_xx_night</vt:lpstr>
      <vt:lpstr>Forecast_without_54_57_with_xx_night_in</vt:lpstr>
      <vt:lpstr>Forecast_without_54_57_with_xx_sleep_disturbance_cost</vt:lpstr>
      <vt:lpstr>Forecast_without_54_57_with_xx_stroke_cost</vt:lpstr>
      <vt:lpstr>Forecast_without_57_60_with_xx</vt:lpstr>
      <vt:lpstr>Forecast_without_57_60_with_xx_amenity_cost</vt:lpstr>
      <vt:lpstr>Forecast_without_57_60_with_xx_AMI_cost</vt:lpstr>
      <vt:lpstr>Forecast_without_57_60_with_xx_composite_cost</vt:lpstr>
      <vt:lpstr>Forecast_without_57_60_with_xx_cost</vt:lpstr>
      <vt:lpstr>Forecast_without_57_60_with_xx_dementia_cost</vt:lpstr>
      <vt:lpstr>Forecast_without_57_60_with_xx_in</vt:lpstr>
      <vt:lpstr>Forecast_without_57_60_with_xx_night</vt:lpstr>
      <vt:lpstr>Forecast_without_57_60_with_xx_night_in</vt:lpstr>
      <vt:lpstr>Forecast_without_57_60_with_xx_sleep_disturbance_cost</vt:lpstr>
      <vt:lpstr>Forecast_without_57_60_with_xx_stroke_cost</vt:lpstr>
      <vt:lpstr>Forecast_without_60_63_with_xx</vt:lpstr>
      <vt:lpstr>Forecast_without_60_63_with_xx_amenity_cost</vt:lpstr>
      <vt:lpstr>Forecast_without_60_63_with_xx_AMI_cost</vt:lpstr>
      <vt:lpstr>Forecast_without_60_63_with_xx_composite_cost</vt:lpstr>
      <vt:lpstr>Forecast_without_60_63_with_xx_cost</vt:lpstr>
      <vt:lpstr>Forecast_without_60_63_with_xx_dementia_cost</vt:lpstr>
      <vt:lpstr>Forecast_without_60_63_with_xx_in</vt:lpstr>
      <vt:lpstr>Forecast_without_60_63_with_xx_night</vt:lpstr>
      <vt:lpstr>Forecast_without_60_63_with_xx_night_in</vt:lpstr>
      <vt:lpstr>Forecast_without_60_63_with_xx_sleep_disturbance_cost</vt:lpstr>
      <vt:lpstr>Forecast_without_60_63_with_xx_stroke_cost</vt:lpstr>
      <vt:lpstr>Forecast_without_63_66_with_xx</vt:lpstr>
      <vt:lpstr>Forecast_without_63_66_with_xx_amenity_cost</vt:lpstr>
      <vt:lpstr>Forecast_without_63_66_with_xx_AMI_cost</vt:lpstr>
      <vt:lpstr>Forecast_without_63_66_with_xx_composite_cost</vt:lpstr>
      <vt:lpstr>Forecast_without_63_66_with_xx_cost</vt:lpstr>
      <vt:lpstr>Forecast_without_63_66_with_xx_dementia_cost</vt:lpstr>
      <vt:lpstr>Forecast_without_63_66_with_xx_in</vt:lpstr>
      <vt:lpstr>Forecast_without_63_66_with_xx_night</vt:lpstr>
      <vt:lpstr>Forecast_without_63_66_with_xx_night_in</vt:lpstr>
      <vt:lpstr>Forecast_without_63_66_with_xx_sleep_disturbance_cost</vt:lpstr>
      <vt:lpstr>Forecast_without_63_66_with_xx_stroke_cost</vt:lpstr>
      <vt:lpstr>Forecast_without_66_69_with_xx</vt:lpstr>
      <vt:lpstr>Forecast_without_66_69_with_xx_amenity_cost</vt:lpstr>
      <vt:lpstr>Forecast_without_66_69_with_xx_AMI_cost</vt:lpstr>
      <vt:lpstr>Forecast_without_66_69_with_xx_composite_cost</vt:lpstr>
      <vt:lpstr>Forecast_without_66_69_with_xx_cost</vt:lpstr>
      <vt:lpstr>Forecast_without_66_69_with_xx_dementia_cost</vt:lpstr>
      <vt:lpstr>Forecast_without_66_69_with_xx_in</vt:lpstr>
      <vt:lpstr>Forecast_without_66_69_with_xx_night</vt:lpstr>
      <vt:lpstr>Forecast_without_66_69_with_xx_night_in</vt:lpstr>
      <vt:lpstr>Forecast_without_66_69_with_xx_sleep_disturbance_cost</vt:lpstr>
      <vt:lpstr>Forecast_without_66_69_with_xx_stroke_cost</vt:lpstr>
      <vt:lpstr>Forecast_without_69_72_with_xx</vt:lpstr>
      <vt:lpstr>Forecast_without_69_72_with_xx_amenity_cost</vt:lpstr>
      <vt:lpstr>Forecast_without_69_72_with_xx_AMI_cost</vt:lpstr>
      <vt:lpstr>Forecast_without_69_72_with_xx_composite_cost</vt:lpstr>
      <vt:lpstr>Forecast_without_69_72_with_xx_cost</vt:lpstr>
      <vt:lpstr>Forecast_without_69_72_with_xx_dementia_cost</vt:lpstr>
      <vt:lpstr>Forecast_without_69_72_with_xx_in</vt:lpstr>
      <vt:lpstr>Forecast_without_69_72_with_xx_night</vt:lpstr>
      <vt:lpstr>Forecast_without_69_72_with_xx_night_in</vt:lpstr>
      <vt:lpstr>Forecast_without_69_72_with_xx_sleep_disturbance_cost</vt:lpstr>
      <vt:lpstr>Forecast_without_69_72_with_xx_stroke_cost</vt:lpstr>
      <vt:lpstr>Forecast_without_72_75_with_xx</vt:lpstr>
      <vt:lpstr>Forecast_without_72_75_with_xx_amenity_cost</vt:lpstr>
      <vt:lpstr>Forecast_without_72_75_with_xx_AMI_cost</vt:lpstr>
      <vt:lpstr>Forecast_without_72_75_with_xx_composite_cost</vt:lpstr>
      <vt:lpstr>Forecast_without_72_75_with_xx_cost</vt:lpstr>
      <vt:lpstr>Forecast_without_72_75_with_xx_dementia_cost</vt:lpstr>
      <vt:lpstr>Forecast_without_72_75_with_xx_in</vt:lpstr>
      <vt:lpstr>Forecast_without_72_75_with_xx_night</vt:lpstr>
      <vt:lpstr>Forecast_without_72_75_with_xx_night_in</vt:lpstr>
      <vt:lpstr>Forecast_without_72_75_with_xx_sleep_disturbance_cost</vt:lpstr>
      <vt:lpstr>Forecast_without_72_75_with_xx_stroke_cost</vt:lpstr>
      <vt:lpstr>Forecast_without_75_78_with_xx</vt:lpstr>
      <vt:lpstr>Forecast_without_75_78_with_xx_amenity_cost</vt:lpstr>
      <vt:lpstr>Forecast_without_75_78_with_xx_AMI_cost</vt:lpstr>
      <vt:lpstr>Forecast_without_75_78_with_xx_composite_cost</vt:lpstr>
      <vt:lpstr>Forecast_without_75_78_with_xx_dementia_cost</vt:lpstr>
      <vt:lpstr>Forecast_without_75_78_with_xx_in</vt:lpstr>
      <vt:lpstr>Forecast_without_75_78_with_xx_night</vt:lpstr>
      <vt:lpstr>Forecast_without_75_78_with_xx_night_in</vt:lpstr>
      <vt:lpstr>Forecast_without_75_78_with_xx_sleep_disturbance_cost</vt:lpstr>
      <vt:lpstr>Forecast_without_75_78_with_xx_stroke_cost</vt:lpstr>
      <vt:lpstr>Forecast_without_78_81_with_xx</vt:lpstr>
      <vt:lpstr>Forecast_without_78_81_with_xx_amenity_cost</vt:lpstr>
      <vt:lpstr>Forecast_without_78_81_with_xx_AMI_cost</vt:lpstr>
      <vt:lpstr>Forecast_without_78_81_with_xx_composite_cost</vt:lpstr>
      <vt:lpstr>Forecast_without_78_81_with_xx_dementia_cost</vt:lpstr>
      <vt:lpstr>Forecast_without_78_81_with_xx_in</vt:lpstr>
      <vt:lpstr>Forecast_without_78_81_with_xx_night</vt:lpstr>
      <vt:lpstr>Forecast_without_78_81_with_xx_night_in</vt:lpstr>
      <vt:lpstr>Forecast_without_78_81_with_xx_sleep_disturbance_cost</vt:lpstr>
      <vt:lpstr>Forecast_without_78_81_with_xx_stroke_cost</vt:lpstr>
      <vt:lpstr>Forecast_without_81_with_xx</vt:lpstr>
      <vt:lpstr>Forecast_without_81_with_xx_amenity_cost</vt:lpstr>
      <vt:lpstr>Forecast_without_81_with_xx_AMI_cost</vt:lpstr>
      <vt:lpstr>Forecast_without_81_with_xx_composite_cost</vt:lpstr>
      <vt:lpstr>Forecast_without_81_with_xx_dementia_cost</vt:lpstr>
      <vt:lpstr>Forecast_without_81_with_xx_in</vt:lpstr>
      <vt:lpstr>Forecast_without_81_with_xx_night</vt:lpstr>
      <vt:lpstr>Forecast_without_81_with_xx_night_in</vt:lpstr>
      <vt:lpstr>Forecast_without_81_with_xx_sleep_disturbance_cost</vt:lpstr>
      <vt:lpstr>Forecast_without_81_with_xx_stroke_cost</vt:lpstr>
      <vt:lpstr>Forecast_year</vt:lpstr>
      <vt:lpstr>Forecast_year_amenity_cost</vt:lpstr>
      <vt:lpstr>Forecast_year_amenity_cost_mask</vt:lpstr>
      <vt:lpstr>Forecast_year_AMI_cost</vt:lpstr>
      <vt:lpstr>Forecast_year_AMI_cost_mask</vt:lpstr>
      <vt:lpstr>Forecast_year_composite_cost</vt:lpstr>
      <vt:lpstr>Forecast_year_dementia_cost</vt:lpstr>
      <vt:lpstr>Forecast_year_dementia_cost_mask</vt:lpstr>
      <vt:lpstr>Forecast_year_in</vt:lpstr>
      <vt:lpstr>Forecast_year_mask</vt:lpstr>
      <vt:lpstr>Forecast_year_sleep_disturbance_cost</vt:lpstr>
      <vt:lpstr>Forecast_year_sleep_disturbance_cost_mask</vt:lpstr>
      <vt:lpstr>Forecast_year_sleep_disturbance_mask</vt:lpstr>
      <vt:lpstr>Forecast_year_stroke_cost</vt:lpstr>
      <vt:lpstr>Forecast_year_stroke_cost_mask</vt:lpstr>
      <vt:lpstr>GDP_capita</vt:lpstr>
      <vt:lpstr>GDP_capita_base</vt:lpstr>
      <vt:lpstr>GDP_capita_in</vt:lpstr>
      <vt:lpstr>GDP_deflator</vt:lpstr>
      <vt:lpstr>GDP_deflator_base</vt:lpstr>
      <vt:lpstr>GDP_deflator_base_values</vt:lpstr>
      <vt:lpstr>GDP_deflator_in</vt:lpstr>
      <vt:lpstr>GDP_deflator_outputs</vt:lpstr>
      <vt:lpstr>Household_size_multiplier</vt:lpstr>
      <vt:lpstr>Household_size_user_input</vt:lpstr>
      <vt:lpstr>Household_size_user_input_in</vt:lpstr>
      <vt:lpstr>Income_base_values</vt:lpstr>
      <vt:lpstr>Income_base_values_in</vt:lpstr>
      <vt:lpstr>Interpolation_amenity_cost_mask</vt:lpstr>
      <vt:lpstr>Interpolation_AMI_cost_mask</vt:lpstr>
      <vt:lpstr>Interpolation_dementia_cost_mask</vt:lpstr>
      <vt:lpstr>Interpolation_mask</vt:lpstr>
      <vt:lpstr>Interpolation_noise_cost_mask</vt:lpstr>
      <vt:lpstr>Interpolation_sleep_disturbance_cost_mask</vt:lpstr>
      <vt:lpstr>Interpolation_sleep_disturbance_mask</vt:lpstr>
      <vt:lpstr>Interpolation_stroke_cost_mask</vt:lpstr>
      <vt:lpstr>Night_impact_mask</vt:lpstr>
      <vt:lpstr>Night_modelling_mask</vt:lpstr>
      <vt:lpstr>Calculation!Night_noise_impact</vt:lpstr>
      <vt:lpstr>Night_noise_impact_in</vt:lpstr>
      <vt:lpstr>Calculation!Night_noise_modelling</vt:lpstr>
      <vt:lpstr>Night_noise_modelling_in</vt:lpstr>
      <vt:lpstr>Noise_1.5dB_band_values_table</vt:lpstr>
      <vt:lpstr>Noise_3dB_band_values_table</vt:lpstr>
      <vt:lpstr>Noise_3dB_bands</vt:lpstr>
      <vt:lpstr>noise_bands</vt:lpstr>
      <vt:lpstr>Noise_values_1dB_table</vt:lpstr>
      <vt:lpstr>Noise_values_income_base</vt:lpstr>
      <vt:lpstr>Noise_values_price_base</vt:lpstr>
      <vt:lpstr>Non_night_impact_mask</vt:lpstr>
      <vt:lpstr>Non_night_modelling_mask</vt:lpstr>
      <vt:lpstr>Opening_without_45_48_with_xx</vt:lpstr>
      <vt:lpstr>Opening_without_45_48_with_xx_amenity_cost</vt:lpstr>
      <vt:lpstr>Opening_without_45_48_with_xx_AMI_cost</vt:lpstr>
      <vt:lpstr>Opening_without_45_48_with_xx_composite_cost</vt:lpstr>
      <vt:lpstr>Opening_without_45_48_with_xx_cost</vt:lpstr>
      <vt:lpstr>Opening_without_45_48_with_xx_dementia_cost</vt:lpstr>
      <vt:lpstr>Opening_without_45_48_with_xx_in</vt:lpstr>
      <vt:lpstr>Opening_without_45_48_with_xx_night</vt:lpstr>
      <vt:lpstr>Opening_without_45_48_with_xx_night_in</vt:lpstr>
      <vt:lpstr>Opening_without_45_48_with_xx_sleep_disturbance_cost</vt:lpstr>
      <vt:lpstr>Opening_without_45_48_with_xx_stroke_cost</vt:lpstr>
      <vt:lpstr>Opening_without_45_with_xx</vt:lpstr>
      <vt:lpstr>Opening_without_45_with_xx_amenity_cost</vt:lpstr>
      <vt:lpstr>Opening_without_45_with_xx_AMI_cost</vt:lpstr>
      <vt:lpstr>Opening_without_45_with_xx_composite_cost</vt:lpstr>
      <vt:lpstr>Opening_without_45_with_xx_dementia_cost</vt:lpstr>
      <vt:lpstr>Opening_without_45_with_xx_in</vt:lpstr>
      <vt:lpstr>Opening_without_45_with_xx_night</vt:lpstr>
      <vt:lpstr>Opening_without_45_with_xx_night_in</vt:lpstr>
      <vt:lpstr>Opening_without_45_with_xx_sleep_disturbance_cost</vt:lpstr>
      <vt:lpstr>Opening_without_45_with_xx_stroke_cost</vt:lpstr>
      <vt:lpstr>Opening_without_48_51_with_xx</vt:lpstr>
      <vt:lpstr>Opening_without_48_51_with_xx_amenity_cost</vt:lpstr>
      <vt:lpstr>Opening_without_48_51_with_xx_AMI_cost</vt:lpstr>
      <vt:lpstr>Opening_without_48_51_with_xx_composite_cost</vt:lpstr>
      <vt:lpstr>Opening_without_48_51_with_xx_cost</vt:lpstr>
      <vt:lpstr>Opening_without_48_51_with_xx_dementia_cost</vt:lpstr>
      <vt:lpstr>Opening_without_48_51_with_xx_in</vt:lpstr>
      <vt:lpstr>Opening_without_48_51_with_xx_night</vt:lpstr>
      <vt:lpstr>Opening_without_48_51_with_xx_night_in</vt:lpstr>
      <vt:lpstr>Opening_without_48_51_with_xx_sleep_disturbance_cost</vt:lpstr>
      <vt:lpstr>Opening_without_48_51_with_xx_stroke_cost</vt:lpstr>
      <vt:lpstr>Opening_without_51_54_with_xx</vt:lpstr>
      <vt:lpstr>Opening_without_51_54_with_xx_amenity_cost</vt:lpstr>
      <vt:lpstr>Opening_without_51_54_with_xx_AMI_cost</vt:lpstr>
      <vt:lpstr>Opening_without_51_54_with_xx_composite_cost</vt:lpstr>
      <vt:lpstr>Opening_without_51_54_with_xx_cost</vt:lpstr>
      <vt:lpstr>Opening_without_51_54_with_xx_dementia_cost</vt:lpstr>
      <vt:lpstr>Opening_without_51_54_with_xx_in</vt:lpstr>
      <vt:lpstr>Opening_without_51_54_with_xx_night</vt:lpstr>
      <vt:lpstr>Opening_without_51_54_with_xx_night_in</vt:lpstr>
      <vt:lpstr>Opening_without_51_54_with_xx_sleep_disturbance_cost</vt:lpstr>
      <vt:lpstr>Opening_without_51_54_with_xx_stroke_cost</vt:lpstr>
      <vt:lpstr>Opening_without_54_57_with_xx</vt:lpstr>
      <vt:lpstr>Opening_without_54_57_with_xx_amenity_cost</vt:lpstr>
      <vt:lpstr>Opening_without_54_57_with_xx_AMI_cost</vt:lpstr>
      <vt:lpstr>Opening_without_54_57_with_xx_composite_cost</vt:lpstr>
      <vt:lpstr>Opening_without_54_57_with_xx_dementia_cost</vt:lpstr>
      <vt:lpstr>Opening_without_54_57_with_xx_in</vt:lpstr>
      <vt:lpstr>Opening_without_54_57_with_xx_night</vt:lpstr>
      <vt:lpstr>Opening_without_54_57_with_xx_night_in</vt:lpstr>
      <vt:lpstr>Opening_without_54_57_with_xx_sleep_disturbance_cost</vt:lpstr>
      <vt:lpstr>Opening_without_54_57_with_xx_stroke_cost</vt:lpstr>
      <vt:lpstr>Opening_without_57_60_with_xx</vt:lpstr>
      <vt:lpstr>Opening_without_57_60_with_xx_amenity_cost</vt:lpstr>
      <vt:lpstr>Opening_without_57_60_with_xx_AMI_cost</vt:lpstr>
      <vt:lpstr>Opening_without_57_60_with_xx_composite_cost</vt:lpstr>
      <vt:lpstr>Opening_without_57_60_with_xx_dementia_cost</vt:lpstr>
      <vt:lpstr>Opening_without_57_60_with_xx_in</vt:lpstr>
      <vt:lpstr>Opening_without_57_60_with_xx_night</vt:lpstr>
      <vt:lpstr>Opening_without_57_60_with_xx_night_in</vt:lpstr>
      <vt:lpstr>Opening_without_57_60_with_xx_sleep_disturbance_cost</vt:lpstr>
      <vt:lpstr>Opening_without_57_60_with_xx_stroke_cost</vt:lpstr>
      <vt:lpstr>Opening_without_60_63_with_xx</vt:lpstr>
      <vt:lpstr>Opening_without_60_63_with_xx_amenity_cost</vt:lpstr>
      <vt:lpstr>Opening_without_60_63_with_xx_AMI_cost</vt:lpstr>
      <vt:lpstr>Opening_without_60_63_with_xx_composite_cost</vt:lpstr>
      <vt:lpstr>Opening_without_60_63_with_xx_dementia_cost</vt:lpstr>
      <vt:lpstr>Opening_without_60_63_with_xx_in</vt:lpstr>
      <vt:lpstr>Opening_without_60_63_with_xx_night</vt:lpstr>
      <vt:lpstr>Opening_without_60_63_with_xx_night_in</vt:lpstr>
      <vt:lpstr>Opening_without_60_63_with_xx_sleep_disturbance_cost</vt:lpstr>
      <vt:lpstr>Opening_without_60_63_with_xx_stroke_cost</vt:lpstr>
      <vt:lpstr>Opening_without_63_66_with_xx</vt:lpstr>
      <vt:lpstr>Opening_without_63_66_with_xx_amenity_cost</vt:lpstr>
      <vt:lpstr>Opening_without_63_66_with_xx_AMI_cost</vt:lpstr>
      <vt:lpstr>Opening_without_63_66_with_xx_composite_cost</vt:lpstr>
      <vt:lpstr>Opening_without_63_66_with_xx_dementia_cost</vt:lpstr>
      <vt:lpstr>Opening_without_63_66_with_xx_in</vt:lpstr>
      <vt:lpstr>Opening_without_63_66_with_xx_night</vt:lpstr>
      <vt:lpstr>Opening_without_63_66_with_xx_night_in</vt:lpstr>
      <vt:lpstr>Opening_without_63_66_with_xx_sleep_disturbance_cost</vt:lpstr>
      <vt:lpstr>Opening_without_63_66_with_xx_stroke_cost</vt:lpstr>
      <vt:lpstr>Opening_without_66_69_with_xx</vt:lpstr>
      <vt:lpstr>Opening_without_66_69_with_xx_amenity_cost</vt:lpstr>
      <vt:lpstr>Opening_without_66_69_with_xx_AMI_cost</vt:lpstr>
      <vt:lpstr>Opening_without_66_69_with_xx_composite_cost</vt:lpstr>
      <vt:lpstr>Opening_without_66_69_with_xx_dementia_cost</vt:lpstr>
      <vt:lpstr>Opening_without_66_69_with_xx_in</vt:lpstr>
      <vt:lpstr>Opening_without_66_69_with_xx_night</vt:lpstr>
      <vt:lpstr>Opening_without_66_69_with_xx_night_in</vt:lpstr>
      <vt:lpstr>Opening_without_66_69_with_xx_sleep_disturbance_cost</vt:lpstr>
      <vt:lpstr>Opening_without_66_69_with_xx_stroke_cost</vt:lpstr>
      <vt:lpstr>Opening_without_69_72_with_xx</vt:lpstr>
      <vt:lpstr>Opening_without_69_72_with_xx_amenity_cost</vt:lpstr>
      <vt:lpstr>Opening_without_69_72_with_xx_AMI_cost</vt:lpstr>
      <vt:lpstr>Opening_without_69_72_with_xx_composite_cost</vt:lpstr>
      <vt:lpstr>Opening_without_69_72_with_xx_cost</vt:lpstr>
      <vt:lpstr>Opening_without_69_72_with_xx_dementia_cost</vt:lpstr>
      <vt:lpstr>Opening_without_69_72_with_xx_in</vt:lpstr>
      <vt:lpstr>Opening_without_69_72_with_xx_night</vt:lpstr>
      <vt:lpstr>Opening_without_69_72_with_xx_night_in</vt:lpstr>
      <vt:lpstr>Opening_without_69_72_with_xx_sleep_disturbance_cost</vt:lpstr>
      <vt:lpstr>Opening_without_69_72_with_xx_stroke_cost</vt:lpstr>
      <vt:lpstr>Opening_without_72_75_with_xx</vt:lpstr>
      <vt:lpstr>Opening_without_72_75_with_xx_amenity_cost</vt:lpstr>
      <vt:lpstr>Opening_without_72_75_with_xx_AMI_cost</vt:lpstr>
      <vt:lpstr>Opening_without_72_75_with_xx_composite_cost</vt:lpstr>
      <vt:lpstr>Opening_without_72_75_with_xx_cost</vt:lpstr>
      <vt:lpstr>Opening_without_72_75_with_xx_dementia_cost</vt:lpstr>
      <vt:lpstr>Opening_without_72_75_with_xx_in</vt:lpstr>
      <vt:lpstr>Opening_without_72_75_with_xx_night</vt:lpstr>
      <vt:lpstr>Opening_without_72_75_with_xx_night_in</vt:lpstr>
      <vt:lpstr>Opening_without_72_75_with_xx_sleep_disturbance_cost</vt:lpstr>
      <vt:lpstr>Opening_without_72_75_with_xx_stroke_cost</vt:lpstr>
      <vt:lpstr>Opening_without_75_78_with_xx</vt:lpstr>
      <vt:lpstr>Opening_without_75_78_with_xx_amenity_cost</vt:lpstr>
      <vt:lpstr>Opening_without_75_78_with_xx_AMI_cost</vt:lpstr>
      <vt:lpstr>Opening_without_75_78_with_xx_composite_cost</vt:lpstr>
      <vt:lpstr>Opening_without_75_78_with_xx_cost</vt:lpstr>
      <vt:lpstr>Opening_without_75_78_with_xx_dementia_cost</vt:lpstr>
      <vt:lpstr>Opening_without_75_78_with_xx_in</vt:lpstr>
      <vt:lpstr>Opening_without_75_78_with_xx_night</vt:lpstr>
      <vt:lpstr>Opening_without_75_78_with_xx_night_in</vt:lpstr>
      <vt:lpstr>Opening_without_75_78_with_xx_sleep_disturbance_cost</vt:lpstr>
      <vt:lpstr>Opening_without_75_78_with_xx_stroke_cost</vt:lpstr>
      <vt:lpstr>Opening_without_78_81_with_xx</vt:lpstr>
      <vt:lpstr>Opening_without_78_81_with_xx_amenity_cost</vt:lpstr>
      <vt:lpstr>Opening_without_78_81_with_xx_AMI_cost</vt:lpstr>
      <vt:lpstr>Opening_without_78_81_with_xx_composite_cost</vt:lpstr>
      <vt:lpstr>Opening_without_78_81_with_xx_cost</vt:lpstr>
      <vt:lpstr>Opening_without_78_81_with_xx_dementia_cost</vt:lpstr>
      <vt:lpstr>Opening_without_78_81_with_xx_in</vt:lpstr>
      <vt:lpstr>Opening_without_78_81_with_xx_night</vt:lpstr>
      <vt:lpstr>Opening_without_78_81_with_xx_night_in</vt:lpstr>
      <vt:lpstr>Opening_without_78_81_with_xx_sleep_disturbance_cost</vt:lpstr>
      <vt:lpstr>Opening_without_78_81_with_xx_stroke_cost</vt:lpstr>
      <vt:lpstr>Opening_without_81_with_xx</vt:lpstr>
      <vt:lpstr>Opening_without_81_with_xx_amenity_cost</vt:lpstr>
      <vt:lpstr>Opening_without_81_with_xx_AMI_cost</vt:lpstr>
      <vt:lpstr>Opening_without_81_with_xx_composite_cost</vt:lpstr>
      <vt:lpstr>Opening_without_81_with_xx_cost</vt:lpstr>
      <vt:lpstr>Opening_without_81_with_xx_dementia_cost</vt:lpstr>
      <vt:lpstr>Opening_without_81_with_xx_in</vt:lpstr>
      <vt:lpstr>Opening_without_81_with_xx_night</vt:lpstr>
      <vt:lpstr>Opening_without_81_with_xx_night_in</vt:lpstr>
      <vt:lpstr>Opening_without_81_with_xx_sleep_disturbance_cost</vt:lpstr>
      <vt:lpstr>Opening_without_81_with_xx_stroke_cost</vt:lpstr>
      <vt:lpstr>Opening_year</vt:lpstr>
      <vt:lpstr>Opening_year_amenity_cost</vt:lpstr>
      <vt:lpstr>Opening_year_amenity_cost_mask</vt:lpstr>
      <vt:lpstr>Opening_year_AMI_cost</vt:lpstr>
      <vt:lpstr>Opening_year_AMI_cost_mask</vt:lpstr>
      <vt:lpstr>Opening_year_composite_cost</vt:lpstr>
      <vt:lpstr>Opening_year_dementia_cost</vt:lpstr>
      <vt:lpstr>Opening_year_dementia_cost_mask</vt:lpstr>
      <vt:lpstr>Opening_year_in</vt:lpstr>
      <vt:lpstr>Opening_year_mask</vt:lpstr>
      <vt:lpstr>Opening_year_noise_cost_mask</vt:lpstr>
      <vt:lpstr>Opening_year_sleep_disturbance_cost</vt:lpstr>
      <vt:lpstr>Opening_year_sleep_disturbance_cost_mask</vt:lpstr>
      <vt:lpstr>Opening_year_stroke_cost</vt:lpstr>
      <vt:lpstr>Opening_year_stroke_cost_mask</vt:lpstr>
      <vt:lpstr>Outputs_price_base</vt:lpstr>
      <vt:lpstr>Price_adjustment</vt:lpstr>
      <vt:lpstr>Price_base_outputs_in</vt:lpstr>
      <vt:lpstr>Price_base_values</vt:lpstr>
      <vt:lpstr>Price_base_values_in</vt:lpstr>
      <vt:lpstr>PV_base_year</vt:lpstr>
      <vt:lpstr>PV_base_year_in</vt:lpstr>
      <vt:lpstr>Rail_Lnight_mask</vt:lpstr>
      <vt:lpstr>Rail_mask</vt:lpstr>
      <vt:lpstr>Road_L16h_mask</vt:lpstr>
      <vt:lpstr>Road_Lnight_mask</vt:lpstr>
      <vt:lpstr>Road_mask</vt:lpstr>
      <vt:lpstr>S_d_1_to_3_dB_band_45</vt:lpstr>
      <vt:lpstr>S_d_1_to_3_dB_band_45_48</vt:lpstr>
      <vt:lpstr>S_d_1_to_3_dB_band_48_51</vt:lpstr>
      <vt:lpstr>S_d_1_to_3_dB_band_51_54</vt:lpstr>
      <vt:lpstr>S_d_1_to_3_dB_band_54_57</vt:lpstr>
      <vt:lpstr>S_d_1_to_3_dB_band_57_60</vt:lpstr>
      <vt:lpstr>S_d_1_to_3_dB_band_60_63</vt:lpstr>
      <vt:lpstr>S_d_1_to_3_dB_band_63_66</vt:lpstr>
      <vt:lpstr>S_d_1_to_3_dB_band_66_69</vt:lpstr>
      <vt:lpstr>S_d_1_to_3_dB_band_69_72</vt:lpstr>
      <vt:lpstr>S_d_1_to_3_dB_band_72_75</vt:lpstr>
      <vt:lpstr>S_d_1_to_3_dB_band_75_78</vt:lpstr>
      <vt:lpstr>S_d_1_to_3_dB_band_78_81</vt:lpstr>
      <vt:lpstr>Scheme_name_in</vt:lpstr>
      <vt:lpstr>Calculation!Scheme_type</vt:lpstr>
      <vt:lpstr>Scheme_type_in</vt:lpstr>
      <vt:lpstr>Sleep_disturbance_metric</vt:lpstr>
      <vt:lpstr>Sleep_disturbance_values_1dB_table</vt:lpstr>
      <vt:lpstr>Sleep_disturbance_values_3dB_table</vt:lpstr>
      <vt:lpstr>Sleep_disturbance_values_aviation_1dB_in</vt:lpstr>
      <vt:lpstr>Sleep_disturbance_values_aviation_1dB_night</vt:lpstr>
      <vt:lpstr>Sleep_disturbance_values_aviation_1dB_night_in</vt:lpstr>
      <vt:lpstr>Sleep_disturbance_values_rail_1dB_in</vt:lpstr>
      <vt:lpstr>Sleep_disturbance_values_rail_1dB_night</vt:lpstr>
      <vt:lpstr>Sleep_disturbance_values_rail_1dB_night_in</vt:lpstr>
      <vt:lpstr>Sleep_disturbance_values_road_1dB_16hr</vt:lpstr>
      <vt:lpstr>Sleep_disturbance_values_road_1dB_16hr_in</vt:lpstr>
      <vt:lpstr>Sleep_disturbance_values_road_1dB_in</vt:lpstr>
      <vt:lpstr>Sleep_disturbance_values_road_1dB_night</vt:lpstr>
      <vt:lpstr>Sleep_disturbance_values_road_1dB_night_in</vt:lpstr>
      <vt:lpstr>stroke_1_to_3_dB_band_45</vt:lpstr>
      <vt:lpstr>stroke_1_to_3_dB_band_45_48</vt:lpstr>
      <vt:lpstr>stroke_1_to_3_dB_band_48_51</vt:lpstr>
      <vt:lpstr>stroke_1_to_3_dB_band_51_54</vt:lpstr>
      <vt:lpstr>stroke_1_to_3_dB_band_54_57</vt:lpstr>
      <vt:lpstr>stroke_1_to_3_dB_band_57_60</vt:lpstr>
      <vt:lpstr>stroke_1_to_3_dB_band_60_63</vt:lpstr>
      <vt:lpstr>stroke_1_to_3_dB_band_63_66</vt:lpstr>
      <vt:lpstr>stroke_1_to_3_dB_band_66_69</vt:lpstr>
      <vt:lpstr>stroke_1_to_3_dB_band_69_72</vt:lpstr>
      <vt:lpstr>stroke_1_to_3_dB_band_72_75</vt:lpstr>
      <vt:lpstr>stroke_1_to_3_dB_band_75_78</vt:lpstr>
      <vt:lpstr>stroke_1_to_3_dB_band_78_81</vt:lpstr>
      <vt:lpstr>Stroke_values_1dB_table</vt:lpstr>
      <vt:lpstr>Stroke_values_3dB_table</vt:lpstr>
      <vt:lpstr>Stroke_values_aviation_1dB</vt:lpstr>
      <vt:lpstr>Stroke_values_aviation_1dB_in</vt:lpstr>
      <vt:lpstr>Stroke_values_rail_1dB</vt:lpstr>
      <vt:lpstr>Stroke_values_rail_1dB_in</vt:lpstr>
      <vt:lpstr>Stroke_values_road_1dB</vt:lpstr>
      <vt:lpstr>Stroke_values_road_1dB_in</vt:lpstr>
      <vt:lpstr>Total_annual_amenity_cost</vt:lpstr>
      <vt:lpstr>Total_annual_AMI_cost</vt:lpstr>
      <vt:lpstr>Total_annual_dementia_cost</vt:lpstr>
      <vt:lpstr>Total_annual_noise_cost</vt:lpstr>
      <vt:lpstr>Total_annual_sleep_disturbance_cost</vt:lpstr>
      <vt:lpstr>Total_annual_stroke_cost</vt:lpstr>
      <vt:lpstr>Total_discounted_amenity_valuation</vt:lpstr>
      <vt:lpstr>Total_discounted_AMI_valuation</vt:lpstr>
      <vt:lpstr>Total_discounted_dementia_valuation</vt:lpstr>
      <vt:lpstr>Total_discounted_sleep_disturbance_valuation</vt:lpstr>
      <vt:lpstr>Total_discounted_stroke_valuation</vt:lpstr>
      <vt:lpstr>Total_HH_increase_day</vt:lpstr>
      <vt:lpstr>Total_HH_increase_night</vt:lpstr>
      <vt:lpstr>Total_HH_reduction_day</vt:lpstr>
      <vt:lpstr>Total_HH_reduction_night</vt:lpstr>
      <vt:lpstr>Total_noise_net_present_value</vt:lpstr>
      <vt:lpstr>Uprating_table</vt:lpstr>
      <vt:lpstr>Without_45_48_with_45_48_amenity_value</vt:lpstr>
      <vt:lpstr>Without_45_48_with_45_48_AMI_value</vt:lpstr>
      <vt:lpstr>Calculation!Without_45_48_with_45_48_Dementia_value</vt:lpstr>
      <vt:lpstr>without_45_48_with_45_48_sleep_disturbance_value</vt:lpstr>
      <vt:lpstr>Without_45_48_with_45_48_stroke_value</vt:lpstr>
      <vt:lpstr>Without_45_48_with_45_amenity_value</vt:lpstr>
      <vt:lpstr>Without_45_48_with_45_AMI_value</vt:lpstr>
      <vt:lpstr>Calculation!Without_45_48_with_45_Dementia_value</vt:lpstr>
      <vt:lpstr>Without_45_48_with_45_stroke_value</vt:lpstr>
      <vt:lpstr>Without_45_48_with_48_51_amenity_value</vt:lpstr>
      <vt:lpstr>Without_45_48_with_48_51_AMI_value</vt:lpstr>
      <vt:lpstr>Calculation!Without_45_48_with_48_51_Dementia_value</vt:lpstr>
      <vt:lpstr>Without_45_48_with_48_51_sleep_disturbance_value</vt:lpstr>
      <vt:lpstr>Without_45_48_with_48_51_stroke_value</vt:lpstr>
      <vt:lpstr>Without_45_48_with_51_54_amenity_value</vt:lpstr>
      <vt:lpstr>Without_45_48_with_51_54_AMI_value</vt:lpstr>
      <vt:lpstr>Calculation!Without_45_48_with_51_54_Dementia_value</vt:lpstr>
      <vt:lpstr>Without_45_48_with_51_54_sleep_disturbance_value</vt:lpstr>
      <vt:lpstr>Without_45_48_with_51_54_stroke_value</vt:lpstr>
      <vt:lpstr>Without_45_48_with_54_57_amenity_value</vt:lpstr>
      <vt:lpstr>Without_45_48_with_54_57_AMI_value</vt:lpstr>
      <vt:lpstr>Calculation!Without_45_48_with_54_57_Dementia_value</vt:lpstr>
      <vt:lpstr>Without_45_48_with_54_57_sleep_disturbance_value</vt:lpstr>
      <vt:lpstr>Without_45_48_with_54_57_stroke_value</vt:lpstr>
      <vt:lpstr>Without_45_48_with_57_60_amenity_value</vt:lpstr>
      <vt:lpstr>Without_45_48_with_57_60_AMI_value</vt:lpstr>
      <vt:lpstr>Calculation!Without_45_48_with_57_60_Dementia_value</vt:lpstr>
      <vt:lpstr>Without_45_48_with_57_60_sleep_disturbance_value</vt:lpstr>
      <vt:lpstr>Without_45_48_with_57_60_stroke_value</vt:lpstr>
      <vt:lpstr>Without_45_48_with_60_63_amenity_value</vt:lpstr>
      <vt:lpstr>Without_45_48_with_60_63_AMI_value</vt:lpstr>
      <vt:lpstr>Calculation!Without_45_48_with_60_63_Dementia_value</vt:lpstr>
      <vt:lpstr>Without_45_48_with_60_63_sleep_disturbance_value</vt:lpstr>
      <vt:lpstr>Without_45_48_with_60_63_stroke_value</vt:lpstr>
      <vt:lpstr>Without_45_48_with_63_66_amenity_value</vt:lpstr>
      <vt:lpstr>Without_45_48_with_63_66_AMI_value</vt:lpstr>
      <vt:lpstr>Calculation!Without_45_48_with_63_66_Dementia_value</vt:lpstr>
      <vt:lpstr>Without_45_48_with_63_66_sleep_disturbance_value</vt:lpstr>
      <vt:lpstr>Without_45_48_with_63_66_stroke_value</vt:lpstr>
      <vt:lpstr>Without_45_48_with_66_69_amenity_value</vt:lpstr>
      <vt:lpstr>Without_45_48_with_66_69_AMI_value</vt:lpstr>
      <vt:lpstr>Calculation!Without_45_48_with_66_69_Dementia_value</vt:lpstr>
      <vt:lpstr>Without_45_48_with_66_69_sleep_disturbance_value</vt:lpstr>
      <vt:lpstr>Without_45_48_with_66_69_stroke_value</vt:lpstr>
      <vt:lpstr>Without_45_48_with_69_72_amenity_value</vt:lpstr>
      <vt:lpstr>Without_45_48_with_69_72_AMI_value</vt:lpstr>
      <vt:lpstr>Calculation!Without_45_48_with_69_72_Dementia_value</vt:lpstr>
      <vt:lpstr>Without_45_48_with_69_72_sleep_disturbance_value</vt:lpstr>
      <vt:lpstr>Without_45_48_with_69_72_stroke_value</vt:lpstr>
      <vt:lpstr>Without_45_48_with_72_75_amenity_value</vt:lpstr>
      <vt:lpstr>Without_45_48_with_72_75_AMI_value</vt:lpstr>
      <vt:lpstr>Calculation!Without_45_48_with_72_75_Dementia_value</vt:lpstr>
      <vt:lpstr>Without_45_48_with_72_75_sleep_disturbance_value</vt:lpstr>
      <vt:lpstr>Without_45_48_with_72_75_stroke_value</vt:lpstr>
      <vt:lpstr>Without_45_48_with_75_78_amenity_value</vt:lpstr>
      <vt:lpstr>Without_45_48_with_75_78_AMI_value</vt:lpstr>
      <vt:lpstr>Calculation!Without_45_48_with_75_78_Dementia_value</vt:lpstr>
      <vt:lpstr>Without_45_48_with_75_78_sleep_disturbance_value</vt:lpstr>
      <vt:lpstr>Without_45_48_with_75_78_stroke_value</vt:lpstr>
      <vt:lpstr>Without_45_48_with_78_81_amenity_value</vt:lpstr>
      <vt:lpstr>Without_45_48_with_78_81_AMI_value</vt:lpstr>
      <vt:lpstr>Calculation!Without_45_48_with_78_81_Dementia_value</vt:lpstr>
      <vt:lpstr>Without_45_48_with_78_81_sleep_disturbance_value</vt:lpstr>
      <vt:lpstr>Without_45_48_with_78_81_stroke_value</vt:lpstr>
      <vt:lpstr>Without_45_48_with_81_amenity_value</vt:lpstr>
      <vt:lpstr>Without_45_48_with_81_AMI_value</vt:lpstr>
      <vt:lpstr>Calculation!Without_45_48_with_81_Dementia_value</vt:lpstr>
      <vt:lpstr>Without_45_48_with_81_sleep_disturbance_value</vt:lpstr>
      <vt:lpstr>Without_45_48_with_81_stroke_value</vt:lpstr>
      <vt:lpstr>Without_45_48_with_xx_amenity_value</vt:lpstr>
      <vt:lpstr>Without_45_48_with_xx_AMI_value</vt:lpstr>
      <vt:lpstr>Without_45_48_with_xx_composite_value</vt:lpstr>
      <vt:lpstr>Without_45_48_with_xx_dementia_value</vt:lpstr>
      <vt:lpstr>Without_45_48_with_xx_sleep_disturbance_value</vt:lpstr>
      <vt:lpstr>Without_45_48_with_xx_stroke_value</vt:lpstr>
      <vt:lpstr>Without_45_48_with_xx_value</vt:lpstr>
      <vt:lpstr>Without_45_with_45_48_amenity_value</vt:lpstr>
      <vt:lpstr>Without_45_with_45_48_AMI_value</vt:lpstr>
      <vt:lpstr>Calculation!Without_45_with_45_48_Dementia_value</vt:lpstr>
      <vt:lpstr>Without_45_with_45_48_sleep_disturbance_value</vt:lpstr>
      <vt:lpstr>Without_45_with_45_48_stroke_value</vt:lpstr>
      <vt:lpstr>Without_45_with_45_amenity_value</vt:lpstr>
      <vt:lpstr>Without_45_with_45_AMI_value</vt:lpstr>
      <vt:lpstr>Calculation!Without_45_with_45_Dementia_value</vt:lpstr>
      <vt:lpstr>Without_45_with_45_stroke_value</vt:lpstr>
      <vt:lpstr>Without_45_with_48_51_amenity_value</vt:lpstr>
      <vt:lpstr>Without_45_with_48_51_AMI_value</vt:lpstr>
      <vt:lpstr>Calculation!Without_45_with_48_51_Dementia_value</vt:lpstr>
      <vt:lpstr>Without_45_with_48_51_sleep_disturbance_value</vt:lpstr>
      <vt:lpstr>Without_45_with_48_51_stroke_value</vt:lpstr>
      <vt:lpstr>Without_45_with_51_54_amenity_value</vt:lpstr>
      <vt:lpstr>Without_45_with_51_54_AMI_value</vt:lpstr>
      <vt:lpstr>Calculation!Without_45_with_51_54_Dementia_value</vt:lpstr>
      <vt:lpstr>Without_45_with_51_54_sleep_disturbance_value</vt:lpstr>
      <vt:lpstr>Without_45_with_51_54_stroke_value</vt:lpstr>
      <vt:lpstr>Without_45_with_54_57_amenity_value</vt:lpstr>
      <vt:lpstr>Without_45_with_54_57_AMI_value</vt:lpstr>
      <vt:lpstr>Calculation!Without_45_with_54_57_Dementia_value</vt:lpstr>
      <vt:lpstr>Without_45_with_54_57_sleep_disturbance_value</vt:lpstr>
      <vt:lpstr>Without_45_with_54_57_stroke_value</vt:lpstr>
      <vt:lpstr>Without_45_with_57_60_amenity_value</vt:lpstr>
      <vt:lpstr>Without_45_with_57_60_AMI_value</vt:lpstr>
      <vt:lpstr>Calculation!Without_45_with_57_60_Dementia_value</vt:lpstr>
      <vt:lpstr>Without_45_with_57_60_sleep_disturbance_value</vt:lpstr>
      <vt:lpstr>Without_45_with_57_60_stroke_value</vt:lpstr>
      <vt:lpstr>Without_45_with_60_63_amenity_value</vt:lpstr>
      <vt:lpstr>Without_45_with_60_63_AMI_value</vt:lpstr>
      <vt:lpstr>Calculation!Without_45_with_60_63_Dementia_value</vt:lpstr>
      <vt:lpstr>Without_45_with_60_63_sleep_disturbance_value</vt:lpstr>
      <vt:lpstr>Without_45_with_60_63_stroke_value</vt:lpstr>
      <vt:lpstr>Without_45_with_63_66_amenity_value</vt:lpstr>
      <vt:lpstr>Without_45_with_63_66_AMI_value</vt:lpstr>
      <vt:lpstr>Calculation!Without_45_with_63_66_Dementia_value</vt:lpstr>
      <vt:lpstr>Without_45_with_63_66_sleep_disturbance_value</vt:lpstr>
      <vt:lpstr>Without_45_with_63_66_stroke_value</vt:lpstr>
      <vt:lpstr>Without_45_with_66_69_amenity_value</vt:lpstr>
      <vt:lpstr>Without_45_with_66_69_AMI_value</vt:lpstr>
      <vt:lpstr>Calculation!Without_45_with_66_69_Dementia_value</vt:lpstr>
      <vt:lpstr>Without_45_with_66_69_sleep_disturbance_value</vt:lpstr>
      <vt:lpstr>Without_45_with_66_69_stroke_value</vt:lpstr>
      <vt:lpstr>Without_45_with_69_72_amenity_value</vt:lpstr>
      <vt:lpstr>Without_45_with_69_72_AMI_value</vt:lpstr>
      <vt:lpstr>Calculation!Without_45_with_69_72_Dementia_value</vt:lpstr>
      <vt:lpstr>Without_45_with_69_72_sleep_disturbance_value</vt:lpstr>
      <vt:lpstr>Without_45_with_69_72_stroke_value</vt:lpstr>
      <vt:lpstr>Without_45_with_72_75_amenity_value</vt:lpstr>
      <vt:lpstr>Without_45_with_72_75_AMI_value</vt:lpstr>
      <vt:lpstr>Calculation!Without_45_with_72_75_Dementia_value</vt:lpstr>
      <vt:lpstr>Without_45_with_72_75_sleep_disturbance_value</vt:lpstr>
      <vt:lpstr>Without_45_with_72_75_stroke_value</vt:lpstr>
      <vt:lpstr>Without_45_with_75_78_amenity_value</vt:lpstr>
      <vt:lpstr>Without_45_with_75_78_AMI_value</vt:lpstr>
      <vt:lpstr>Calculation!Without_45_with_75_78_Dementia_value</vt:lpstr>
      <vt:lpstr>Without_45_with_75_78_sleep_disturbance_value</vt:lpstr>
      <vt:lpstr>Without_45_with_75_78_stroke_value</vt:lpstr>
      <vt:lpstr>Without_45_with_78_81_amenity_value</vt:lpstr>
      <vt:lpstr>Without_45_with_78_81_AMI_value</vt:lpstr>
      <vt:lpstr>Calculation!Without_45_with_78_81_Dementia_value</vt:lpstr>
      <vt:lpstr>Without_45_with_78_81_sleep_disturbance_value</vt:lpstr>
      <vt:lpstr>Without_45_with_78_81_stroke_value</vt:lpstr>
      <vt:lpstr>Without_45_with_81_amenity_value</vt:lpstr>
      <vt:lpstr>Without_45_with_81_AMI_value</vt:lpstr>
      <vt:lpstr>Calculation!Without_45_with_81_Dementia_value</vt:lpstr>
      <vt:lpstr>Without_45_with_81_sleep_disturbance_value</vt:lpstr>
      <vt:lpstr>Without_45_with_81_stroke_value</vt:lpstr>
      <vt:lpstr>Without_45_with_xx_amenity_value</vt:lpstr>
      <vt:lpstr>Without_45_with_xx_AMI_value</vt:lpstr>
      <vt:lpstr>Without_45_with_xx_composite_value</vt:lpstr>
      <vt:lpstr>Without_45_with_xx_dementia_value</vt:lpstr>
      <vt:lpstr>Without_45_with_xx_sleep_disturbance_value</vt:lpstr>
      <vt:lpstr>Without_45_with_xx_stroke_value</vt:lpstr>
      <vt:lpstr>Without_45_with_xx_value</vt:lpstr>
      <vt:lpstr>Without_48_51_with_45_48_amenity_value</vt:lpstr>
      <vt:lpstr>Without_48_51_with_45_48_AMI_value</vt:lpstr>
      <vt:lpstr>Calculation!Without_48_51_with_45_48_Dementia_value</vt:lpstr>
      <vt:lpstr>Without_48_51_with_45_48_stroke_value</vt:lpstr>
      <vt:lpstr>Without_48_51_with_45_amenity_value</vt:lpstr>
      <vt:lpstr>Without_48_51_with_45_AMI_value</vt:lpstr>
      <vt:lpstr>Calculation!Without_48_51_with_45_Dementia_value</vt:lpstr>
      <vt:lpstr>Without_48_51_with_45_stroke_value</vt:lpstr>
      <vt:lpstr>Without_48_51_with_48_51_amenity_value</vt:lpstr>
      <vt:lpstr>Without_48_51_with_48_51_AMI_value</vt:lpstr>
      <vt:lpstr>Calculation!Without_48_51_with_48_51_Dementia_value</vt:lpstr>
      <vt:lpstr>Without_48_51_with_48_51_stroke_value</vt:lpstr>
      <vt:lpstr>Without_48_51_with_51_54_amenity_value</vt:lpstr>
      <vt:lpstr>Without_48_51_with_51_54_AMI_value</vt:lpstr>
      <vt:lpstr>Calculation!Without_48_51_with_51_54_Dementia_value</vt:lpstr>
      <vt:lpstr>Without_48_51_with_51_54_sleep_disturbance_value</vt:lpstr>
      <vt:lpstr>Without_48_51_with_51_54_stroke_value</vt:lpstr>
      <vt:lpstr>Without_48_51_with_54_57_amenity_value</vt:lpstr>
      <vt:lpstr>Without_48_51_with_54_57_AMI_value</vt:lpstr>
      <vt:lpstr>Calculation!Without_48_51_with_54_57_Dementia_value</vt:lpstr>
      <vt:lpstr>Without_48_51_with_54_57_sleep_disturbance_value</vt:lpstr>
      <vt:lpstr>Without_48_51_with_54_57_stroke_value</vt:lpstr>
      <vt:lpstr>Without_48_51_with_57_60_amenity_value</vt:lpstr>
      <vt:lpstr>Without_48_51_with_57_60_AMI_value</vt:lpstr>
      <vt:lpstr>Calculation!Without_48_51_with_57_60_Dementia_value</vt:lpstr>
      <vt:lpstr>Without_48_51_with_57_60_sleep_disturbance_value</vt:lpstr>
      <vt:lpstr>Without_48_51_with_57_60_stroke_value</vt:lpstr>
      <vt:lpstr>Without_48_51_with_60_63_amenity_value</vt:lpstr>
      <vt:lpstr>Without_48_51_with_60_63_AMI_value</vt:lpstr>
      <vt:lpstr>Calculation!Without_48_51_with_60_63_Dementia_value</vt:lpstr>
      <vt:lpstr>Without_48_51_with_60_63_sleep_disturbance_value</vt:lpstr>
      <vt:lpstr>Without_48_51_with_60_63_stroke_value</vt:lpstr>
      <vt:lpstr>Without_48_51_with_63_66_amenity_value</vt:lpstr>
      <vt:lpstr>Without_48_51_with_63_66_AMI_value</vt:lpstr>
      <vt:lpstr>Calculation!Without_48_51_with_63_66_Dementia_value</vt:lpstr>
      <vt:lpstr>Without_48_51_with_63_66_sleep_disturbance_value</vt:lpstr>
      <vt:lpstr>Without_48_51_with_63_66_stroke_value</vt:lpstr>
      <vt:lpstr>Without_48_51_with_66_69_amenity_value</vt:lpstr>
      <vt:lpstr>Without_48_51_with_66_69_AMI_value</vt:lpstr>
      <vt:lpstr>Calculation!Without_48_51_with_66_69_Dementia_value</vt:lpstr>
      <vt:lpstr>Without_48_51_with_66_69_sleep_disturbance_value</vt:lpstr>
      <vt:lpstr>Without_48_51_with_66_69_stroke_value</vt:lpstr>
      <vt:lpstr>Without_48_51_with_69_72_amenity_value</vt:lpstr>
      <vt:lpstr>Without_48_51_with_69_72_AMI_value</vt:lpstr>
      <vt:lpstr>Calculation!Without_48_51_with_69_72_Dementia_value</vt:lpstr>
      <vt:lpstr>Without_48_51_with_69_72_sleep_disturbance_value</vt:lpstr>
      <vt:lpstr>Without_48_51_with_69_72_stroke_value</vt:lpstr>
      <vt:lpstr>Without_48_51_with_72_75_amenity_value</vt:lpstr>
      <vt:lpstr>Without_48_51_with_72_75_AMI_value</vt:lpstr>
      <vt:lpstr>Calculation!Without_48_51_with_72_75_Dementia_value</vt:lpstr>
      <vt:lpstr>Without_48_51_with_72_75_sleep_disturbance_value</vt:lpstr>
      <vt:lpstr>Without_48_51_with_72_75_stroke_value</vt:lpstr>
      <vt:lpstr>Without_48_51_with_75_78_amenity_value</vt:lpstr>
      <vt:lpstr>Without_48_51_with_75_78_AMI_value</vt:lpstr>
      <vt:lpstr>Calculation!Without_48_51_with_75_78_Dementia_value</vt:lpstr>
      <vt:lpstr>Without_48_51_with_75_78_sleep_disturbance_value</vt:lpstr>
      <vt:lpstr>Without_48_51_with_75_78_stroke_value</vt:lpstr>
      <vt:lpstr>Without_48_51_with_78_81_amenity_value</vt:lpstr>
      <vt:lpstr>Without_48_51_with_78_81_AMI_value</vt:lpstr>
      <vt:lpstr>Calculation!Without_48_51_with_78_81_Dementia_value</vt:lpstr>
      <vt:lpstr>Without_48_51_with_78_81_sleep_disturbance_value</vt:lpstr>
      <vt:lpstr>Without_48_51_with_78_81_stroke_value</vt:lpstr>
      <vt:lpstr>Without_48_51_with_81_amenity_value</vt:lpstr>
      <vt:lpstr>Without_48_51_with_81_AMI_value</vt:lpstr>
      <vt:lpstr>Calculation!Without_48_51_with_81_Dementia_value</vt:lpstr>
      <vt:lpstr>Without_48_51_with_81_sleep_disturbance_value</vt:lpstr>
      <vt:lpstr>Without_48_51_with_81_stroke_value</vt:lpstr>
      <vt:lpstr>Without_48_51_with_xx_amenity_value</vt:lpstr>
      <vt:lpstr>Without_48_51_with_xx_AMI_value</vt:lpstr>
      <vt:lpstr>Without_48_51_with_xx_composite_value</vt:lpstr>
      <vt:lpstr>Without_48_51_with_xx_dementia_value</vt:lpstr>
      <vt:lpstr>Without_48_51_with_xx_sleep_disturbance_value</vt:lpstr>
      <vt:lpstr>Without_48_51_with_xx_stroke_value</vt:lpstr>
      <vt:lpstr>Without_48_51_with_xx_value</vt:lpstr>
      <vt:lpstr>Without_51_54_with_45_48_amenity_value</vt:lpstr>
      <vt:lpstr>Without_51_54_with_45_48_AMI_value</vt:lpstr>
      <vt:lpstr>Calculation!Without_51_54_with_45_48_Dementia_value</vt:lpstr>
      <vt:lpstr>Without_51_54_with_45_48_stroke_value</vt:lpstr>
      <vt:lpstr>Without_51_54_with_45_amenity_value</vt:lpstr>
      <vt:lpstr>Without_51_54_with_45_AMI_value</vt:lpstr>
      <vt:lpstr>Calculation!Without_51_54_with_45_Dementia_value</vt:lpstr>
      <vt:lpstr>Without_51_54_with_45_stroke_value</vt:lpstr>
      <vt:lpstr>Without_51_54_with_48_51_amenity_value</vt:lpstr>
      <vt:lpstr>Without_51_54_with_48_51_AMI_value</vt:lpstr>
      <vt:lpstr>Calculation!Without_51_54_with_48_51_Dementia_value</vt:lpstr>
      <vt:lpstr>Without_51_54_with_48_51_stroke_value</vt:lpstr>
      <vt:lpstr>Without_51_54_with_51_54_amenity_value</vt:lpstr>
      <vt:lpstr>Without_51_54_with_51_54_AMI_value</vt:lpstr>
      <vt:lpstr>Calculation!Without_51_54_with_51_54_Dementia_value</vt:lpstr>
      <vt:lpstr>Without_51_54_with_51_54_stroke_value</vt:lpstr>
      <vt:lpstr>Without_51_54_with_54_57_amenity_value</vt:lpstr>
      <vt:lpstr>Without_51_54_with_54_57_AMI_value</vt:lpstr>
      <vt:lpstr>Calculation!Without_51_54_with_54_57_Dementia_value</vt:lpstr>
      <vt:lpstr>Without_51_54_with_54_57_sleep_disturbance_value</vt:lpstr>
      <vt:lpstr>Without_51_54_with_54_57_stroke_value</vt:lpstr>
      <vt:lpstr>Without_51_54_with_57_60_amenity_value</vt:lpstr>
      <vt:lpstr>Without_51_54_with_57_60_AMI_value</vt:lpstr>
      <vt:lpstr>Calculation!Without_51_54_with_57_60_Dementia_value</vt:lpstr>
      <vt:lpstr>Without_51_54_with_57_60_sleep_disturbance_value</vt:lpstr>
      <vt:lpstr>Without_51_54_with_57_60_stroke_value</vt:lpstr>
      <vt:lpstr>Without_51_54_with_60_63_amenity_value</vt:lpstr>
      <vt:lpstr>Without_51_54_with_60_63_AMI_value</vt:lpstr>
      <vt:lpstr>Calculation!Without_51_54_with_60_63_Dementia_value</vt:lpstr>
      <vt:lpstr>Without_51_54_with_60_63_sleep_disturbance_value</vt:lpstr>
      <vt:lpstr>Without_51_54_with_60_63_stroke_value</vt:lpstr>
      <vt:lpstr>Without_51_54_with_63_66_amenity_value</vt:lpstr>
      <vt:lpstr>Without_51_54_with_63_66_AMI_value</vt:lpstr>
      <vt:lpstr>Calculation!Without_51_54_with_63_66_Dementia_value</vt:lpstr>
      <vt:lpstr>Without_51_54_with_63_66_sleep_disturbance_value</vt:lpstr>
      <vt:lpstr>Without_51_54_with_63_66_stroke_value</vt:lpstr>
      <vt:lpstr>Without_51_54_with_66_69_amenity_value</vt:lpstr>
      <vt:lpstr>Without_51_54_with_66_69_AMI_value</vt:lpstr>
      <vt:lpstr>Calculation!Without_51_54_with_66_69_Dementia_value</vt:lpstr>
      <vt:lpstr>Without_51_54_with_66_69_sleep_disturbance_value</vt:lpstr>
      <vt:lpstr>Without_51_54_with_66_69_stroke_value</vt:lpstr>
      <vt:lpstr>Without_51_54_with_69_72_amenity_value</vt:lpstr>
      <vt:lpstr>Without_51_54_with_69_72_AMI_value</vt:lpstr>
      <vt:lpstr>Calculation!Without_51_54_with_69_72_Dementia_value</vt:lpstr>
      <vt:lpstr>Without_51_54_with_69_72_sleep_disturbance_value</vt:lpstr>
      <vt:lpstr>Without_51_54_with_69_72_stroke_value</vt:lpstr>
      <vt:lpstr>Without_51_54_with_72_75_amenity_value</vt:lpstr>
      <vt:lpstr>Without_51_54_with_72_75_AMI_value</vt:lpstr>
      <vt:lpstr>Calculation!Without_51_54_with_72_75_Dementia_value</vt:lpstr>
      <vt:lpstr>Without_51_54_with_72_75_sleep_disturbance_value</vt:lpstr>
      <vt:lpstr>Without_51_54_with_72_75_stroke_value</vt:lpstr>
      <vt:lpstr>Without_51_54_with_75_78_amenity_value</vt:lpstr>
      <vt:lpstr>Without_51_54_with_75_78_AMI_value</vt:lpstr>
      <vt:lpstr>Calculation!Without_51_54_with_75_78_Dementia_value</vt:lpstr>
      <vt:lpstr>Without_51_54_with_75_78_sleep_disturbance_value</vt:lpstr>
      <vt:lpstr>Without_51_54_with_75_78_stroke_value</vt:lpstr>
      <vt:lpstr>Without_51_54_with_78_81_amenity_value</vt:lpstr>
      <vt:lpstr>Without_51_54_with_78_81_AMI_value</vt:lpstr>
      <vt:lpstr>Calculation!Without_51_54_with_78_81_Dementia_value</vt:lpstr>
      <vt:lpstr>Without_51_54_with_78_81_sleep_disturbance_value</vt:lpstr>
      <vt:lpstr>Without_51_54_with_78_81_stroke_value</vt:lpstr>
      <vt:lpstr>Without_51_54_with_81_amenity_value</vt:lpstr>
      <vt:lpstr>Without_51_54_with_81_AMI_value</vt:lpstr>
      <vt:lpstr>Calculation!Without_51_54_with_81_Dementia_value</vt:lpstr>
      <vt:lpstr>Without_51_54_with_81_sleep_disturbance_value</vt:lpstr>
      <vt:lpstr>Without_51_54_with_81_stroke_value</vt:lpstr>
      <vt:lpstr>Without_51_54_with_xx_amenity_value</vt:lpstr>
      <vt:lpstr>Without_51_54_with_xx_AMI_value</vt:lpstr>
      <vt:lpstr>Without_51_54_with_xx_composite_value</vt:lpstr>
      <vt:lpstr>Without_51_54_with_xx_dementia_value</vt:lpstr>
      <vt:lpstr>Without_51_54_with_xx_sleep_disturbance_value</vt:lpstr>
      <vt:lpstr>Without_51_54_with_xx_stroke_value</vt:lpstr>
      <vt:lpstr>Without_51_54_with_xx_value</vt:lpstr>
      <vt:lpstr>Without_54_57_with_45_48_amenity_value</vt:lpstr>
      <vt:lpstr>Without_54_57_with_45_48_AMI_value</vt:lpstr>
      <vt:lpstr>Calculation!Without_54_57_with_45_48_Dementia_value</vt:lpstr>
      <vt:lpstr>Without_54_57_with_45_48_stroke_value</vt:lpstr>
      <vt:lpstr>Without_54_57_with_45_amenity_value</vt:lpstr>
      <vt:lpstr>Without_54_57_with_45_AMI_value</vt:lpstr>
      <vt:lpstr>Calculation!Without_54_57_with_45_Dementia_value</vt:lpstr>
      <vt:lpstr>Without_54_57_with_45_stroke_value</vt:lpstr>
      <vt:lpstr>Without_54_57_with_48_51_amenity_value</vt:lpstr>
      <vt:lpstr>Without_54_57_with_48_51_AMI_value</vt:lpstr>
      <vt:lpstr>Calculation!Without_54_57_with_48_51_Dementia_value</vt:lpstr>
      <vt:lpstr>Without_54_57_with_48_51_stroke_value</vt:lpstr>
      <vt:lpstr>Without_54_57_with_51_54_amenity_value</vt:lpstr>
      <vt:lpstr>Without_54_57_with_51_54_AMI_value</vt:lpstr>
      <vt:lpstr>Calculation!Without_54_57_with_51_54_Dementia_value</vt:lpstr>
      <vt:lpstr>Without_54_57_with_51_54_stroke_value</vt:lpstr>
      <vt:lpstr>Without_54_57_with_54_57_amenity_value</vt:lpstr>
      <vt:lpstr>Without_54_57_with_54_57_AMI_value</vt:lpstr>
      <vt:lpstr>Calculation!Without_54_57_with_54_57_Dementia_value</vt:lpstr>
      <vt:lpstr>Without_54_57_with_54_57_stroke_value</vt:lpstr>
      <vt:lpstr>Without_54_57_with_57_60_amenity_value</vt:lpstr>
      <vt:lpstr>Without_54_57_with_57_60_AMI_value</vt:lpstr>
      <vt:lpstr>Calculation!Without_54_57_with_57_60_Dementia_value</vt:lpstr>
      <vt:lpstr>Without_54_57_with_57_60_sleep_disturbance_value</vt:lpstr>
      <vt:lpstr>Without_54_57_with_57_60_stroke_value</vt:lpstr>
      <vt:lpstr>Without_54_57_with_60_63_amenity_value</vt:lpstr>
      <vt:lpstr>Without_54_57_with_60_63_AMI_value</vt:lpstr>
      <vt:lpstr>Calculation!Without_54_57_with_60_63_Dementia_value</vt:lpstr>
      <vt:lpstr>Without_54_57_with_60_63_sleep_disturbance_value</vt:lpstr>
      <vt:lpstr>Without_54_57_with_60_63_stroke_value</vt:lpstr>
      <vt:lpstr>Without_54_57_with_63_66_amenity_value</vt:lpstr>
      <vt:lpstr>Without_54_57_with_63_66_AMI_value</vt:lpstr>
      <vt:lpstr>Calculation!Without_54_57_with_63_66_Dementia_value</vt:lpstr>
      <vt:lpstr>Without_54_57_with_63_66_sleep_disturbance_value</vt:lpstr>
      <vt:lpstr>Without_54_57_with_63_66_stroke_value</vt:lpstr>
      <vt:lpstr>Without_54_57_with_66_69_amenity_value</vt:lpstr>
      <vt:lpstr>Without_54_57_with_66_69_AMI_value</vt:lpstr>
      <vt:lpstr>Calculation!Without_54_57_with_66_69_Dementia_value</vt:lpstr>
      <vt:lpstr>Without_54_57_with_66_69_sleep_disturbance_value</vt:lpstr>
      <vt:lpstr>Without_54_57_with_66_69_stroke_value</vt:lpstr>
      <vt:lpstr>Without_54_57_with_69_72_amenity_value</vt:lpstr>
      <vt:lpstr>Without_54_57_with_69_72_AMI_value</vt:lpstr>
      <vt:lpstr>Calculation!Without_54_57_with_69_72_Dementia_value</vt:lpstr>
      <vt:lpstr>Without_54_57_with_69_72_sleep_disturbance_value</vt:lpstr>
      <vt:lpstr>Without_54_57_with_69_72_stroke_value</vt:lpstr>
      <vt:lpstr>Without_54_57_with_72_75_amenity_value</vt:lpstr>
      <vt:lpstr>Without_54_57_with_72_75_AMI_value</vt:lpstr>
      <vt:lpstr>Calculation!Without_54_57_with_72_75_Dementia_value</vt:lpstr>
      <vt:lpstr>Without_54_57_with_72_75_sleep_disturbance_value</vt:lpstr>
      <vt:lpstr>Without_54_57_with_72_75_stroke_value</vt:lpstr>
      <vt:lpstr>Without_54_57_with_75_78_amenity_value</vt:lpstr>
      <vt:lpstr>Without_54_57_with_75_78_AMI_value</vt:lpstr>
      <vt:lpstr>Calculation!Without_54_57_with_75_78_Dementia_value</vt:lpstr>
      <vt:lpstr>Without_54_57_with_75_78_sleep_disturbance_value</vt:lpstr>
      <vt:lpstr>Without_54_57_with_75_78_stroke_value</vt:lpstr>
      <vt:lpstr>Without_54_57_with_78_81_amenity_value</vt:lpstr>
      <vt:lpstr>Without_54_57_with_78_81_AMI_value</vt:lpstr>
      <vt:lpstr>Calculation!Without_54_57_with_78_81_Dementia_value</vt:lpstr>
      <vt:lpstr>Without_54_57_with_78_81_sleep_disturbance_value</vt:lpstr>
      <vt:lpstr>Without_54_57_with_78_81_stroke_value</vt:lpstr>
      <vt:lpstr>Without_54_57_with_81_amenity_value</vt:lpstr>
      <vt:lpstr>Without_54_57_with_81_AMI_value</vt:lpstr>
      <vt:lpstr>Calculation!Without_54_57_with_81_Dementia_value</vt:lpstr>
      <vt:lpstr>Without_54_57_with_81_sleep_disturbance_value</vt:lpstr>
      <vt:lpstr>Without_54_57_with_81_stroke_value</vt:lpstr>
      <vt:lpstr>Without_54_57_with_xx_amenity_value</vt:lpstr>
      <vt:lpstr>Without_54_57_with_xx_AMI_value</vt:lpstr>
      <vt:lpstr>Without_54_57_with_xx_composite_value</vt:lpstr>
      <vt:lpstr>Without_54_57_with_xx_dementia_value</vt:lpstr>
      <vt:lpstr>Without_54_57_with_xx_sleep_disturbance_value</vt:lpstr>
      <vt:lpstr>Without_54_57_with_xx_stroke_value</vt:lpstr>
      <vt:lpstr>Without_54_57_with_xx_value</vt:lpstr>
      <vt:lpstr>Without_57_60_with_45_48_amenity_value</vt:lpstr>
      <vt:lpstr>Without_57_60_with_45_48_AMI_value</vt:lpstr>
      <vt:lpstr>Calculation!Without_57_60_with_45_48_Dementia_value</vt:lpstr>
      <vt:lpstr>Without_57_60_with_45_48_stroke_value</vt:lpstr>
      <vt:lpstr>Without_57_60_with_45_amenity_value</vt:lpstr>
      <vt:lpstr>Without_57_60_with_45_AMI_value</vt:lpstr>
      <vt:lpstr>Calculation!Without_57_60_with_45_Dementia_value</vt:lpstr>
      <vt:lpstr>Without_57_60_with_45_stroke_value</vt:lpstr>
      <vt:lpstr>Without_57_60_with_48_51_amenity_value</vt:lpstr>
      <vt:lpstr>Without_57_60_with_48_51_AMI_value</vt:lpstr>
      <vt:lpstr>Calculation!Without_57_60_with_48_51_Dementia_value</vt:lpstr>
      <vt:lpstr>Without_57_60_with_48_51_stroke_value</vt:lpstr>
      <vt:lpstr>Without_57_60_with_51_54_amenity_value</vt:lpstr>
      <vt:lpstr>Without_57_60_with_51_54_AMI_value</vt:lpstr>
      <vt:lpstr>Calculation!Without_57_60_with_51_54_Dementia_value</vt:lpstr>
      <vt:lpstr>Without_57_60_with_51_54_stroke_value</vt:lpstr>
      <vt:lpstr>Without_57_60_with_54_57_amenity_value</vt:lpstr>
      <vt:lpstr>Without_57_60_with_54_57_AMI_value</vt:lpstr>
      <vt:lpstr>Calculation!Without_57_60_with_54_57_Dementia_value</vt:lpstr>
      <vt:lpstr>Without_57_60_with_54_57_stroke_value</vt:lpstr>
      <vt:lpstr>Without_57_60_with_57_60_amenity_value</vt:lpstr>
      <vt:lpstr>Without_57_60_with_57_60_AMI_value</vt:lpstr>
      <vt:lpstr>Calculation!Without_57_60_with_57_60_Dementia_value</vt:lpstr>
      <vt:lpstr>Without_57_60_with_57_60_stroke_value</vt:lpstr>
      <vt:lpstr>Without_57_60_with_60_63_amenity_value</vt:lpstr>
      <vt:lpstr>Without_57_60_with_60_63_AMI_value</vt:lpstr>
      <vt:lpstr>Calculation!Without_57_60_with_60_63_Dementia_value</vt:lpstr>
      <vt:lpstr>Without_57_60_with_60_63_sleep_disturbance_value</vt:lpstr>
      <vt:lpstr>Without_57_60_with_60_63_stroke_value</vt:lpstr>
      <vt:lpstr>Without_57_60_with_63_66_amenity_value</vt:lpstr>
      <vt:lpstr>Without_57_60_with_63_66_AMI_value</vt:lpstr>
      <vt:lpstr>Calculation!Without_57_60_with_63_66_Dementia_value</vt:lpstr>
      <vt:lpstr>Without_57_60_with_63_66_sleep_disturbance_value</vt:lpstr>
      <vt:lpstr>Without_57_60_with_63_66_stroke_value</vt:lpstr>
      <vt:lpstr>Without_57_60_with_66_69_amenity_value</vt:lpstr>
      <vt:lpstr>Without_57_60_with_66_69_AMI_value</vt:lpstr>
      <vt:lpstr>Calculation!Without_57_60_with_66_69_Dementia_value</vt:lpstr>
      <vt:lpstr>Without_57_60_with_66_69_sleep_disturbance_value</vt:lpstr>
      <vt:lpstr>Without_57_60_with_66_69_stroke_value</vt:lpstr>
      <vt:lpstr>Without_57_60_with_69_72_amenity_value</vt:lpstr>
      <vt:lpstr>Without_57_60_with_69_72_AMI_value</vt:lpstr>
      <vt:lpstr>Calculation!Without_57_60_with_69_72_Dementia_value</vt:lpstr>
      <vt:lpstr>Without_57_60_with_69_72_sleep_disturbance_value</vt:lpstr>
      <vt:lpstr>Without_57_60_with_69_72_stroke_value</vt:lpstr>
      <vt:lpstr>Without_57_60_with_72_75_amenity_value</vt:lpstr>
      <vt:lpstr>Without_57_60_with_72_75_AMI_value</vt:lpstr>
      <vt:lpstr>Calculation!Without_57_60_with_72_75_Dementia_value</vt:lpstr>
      <vt:lpstr>Without_57_60_with_72_75_sleep_disturbance_value</vt:lpstr>
      <vt:lpstr>Without_57_60_with_72_75_stroke_value</vt:lpstr>
      <vt:lpstr>Without_57_60_with_75_78_amenity_value</vt:lpstr>
      <vt:lpstr>Without_57_60_with_75_78_AMI_value</vt:lpstr>
      <vt:lpstr>Calculation!Without_57_60_with_75_78_Dementia_value</vt:lpstr>
      <vt:lpstr>Without_57_60_with_75_78_sleep_disturbance_value</vt:lpstr>
      <vt:lpstr>Without_57_60_with_75_78_stroke_value</vt:lpstr>
      <vt:lpstr>Without_57_60_with_78_81_amenity_value</vt:lpstr>
      <vt:lpstr>Without_57_60_with_78_81_AMI_value</vt:lpstr>
      <vt:lpstr>Calculation!Without_57_60_with_78_81_Dementia_value</vt:lpstr>
      <vt:lpstr>Without_57_60_with_78_81_sleep_disturbance_value</vt:lpstr>
      <vt:lpstr>Without_57_60_with_78_81_stroke_value</vt:lpstr>
      <vt:lpstr>Without_57_60_with_81_amenity_value</vt:lpstr>
      <vt:lpstr>Without_57_60_with_81_AMI_value</vt:lpstr>
      <vt:lpstr>Calculation!Without_57_60_with_81_Dementia_value</vt:lpstr>
      <vt:lpstr>Without_57_60_with_81_sleep_disturbance_value</vt:lpstr>
      <vt:lpstr>Without_57_60_with_81_stroke_value</vt:lpstr>
      <vt:lpstr>Without_57_60_with_xx_amenity_value</vt:lpstr>
      <vt:lpstr>Without_57_60_with_xx_AMI_value</vt:lpstr>
      <vt:lpstr>Without_57_60_with_xx_composite_value</vt:lpstr>
      <vt:lpstr>Without_57_60_with_xx_dementia_value</vt:lpstr>
      <vt:lpstr>Without_57_60_with_xx_sleep_disturbance_value</vt:lpstr>
      <vt:lpstr>Without_57_60_with_xx_stroke_value</vt:lpstr>
      <vt:lpstr>Without_57_60_with_xx_value</vt:lpstr>
      <vt:lpstr>Without_60_63_with_45_48_amenity_value</vt:lpstr>
      <vt:lpstr>Without_60_63_with_45_48_AMI_value</vt:lpstr>
      <vt:lpstr>Calculation!Without_60_63_with_45_48_Dementia_value</vt:lpstr>
      <vt:lpstr>Without_60_63_with_45_48_stroke_value</vt:lpstr>
      <vt:lpstr>Without_60_63_with_45_amenity_value</vt:lpstr>
      <vt:lpstr>Without_60_63_with_45_AMI_value</vt:lpstr>
      <vt:lpstr>Calculation!Without_60_63_with_45_Dementia_value</vt:lpstr>
      <vt:lpstr>Without_60_63_with_45_stroke_value</vt:lpstr>
      <vt:lpstr>Without_60_63_with_48_51_amenity_value</vt:lpstr>
      <vt:lpstr>Without_60_63_with_48_51_AMI_value</vt:lpstr>
      <vt:lpstr>Calculation!Without_60_63_with_48_51_Dementia_value</vt:lpstr>
      <vt:lpstr>Without_60_63_with_48_51_stroke_value</vt:lpstr>
      <vt:lpstr>Without_60_63_with_51_54_amenity_value</vt:lpstr>
      <vt:lpstr>Without_60_63_with_51_54_AMI_value</vt:lpstr>
      <vt:lpstr>Calculation!Without_60_63_with_51_54_Dementia_value</vt:lpstr>
      <vt:lpstr>Without_60_63_with_51_54_stroke_value</vt:lpstr>
      <vt:lpstr>Without_60_63_with_54_57_amenity_value</vt:lpstr>
      <vt:lpstr>Without_60_63_with_54_57_AMI_value</vt:lpstr>
      <vt:lpstr>Calculation!Without_60_63_with_54_57_Dementia_value</vt:lpstr>
      <vt:lpstr>Without_60_63_with_54_57_stroke_value</vt:lpstr>
      <vt:lpstr>Without_60_63_with_57_60_amenity_value</vt:lpstr>
      <vt:lpstr>Without_60_63_with_57_60_AMI_value</vt:lpstr>
      <vt:lpstr>Calculation!Without_60_63_with_57_60_Dementia_value</vt:lpstr>
      <vt:lpstr>Without_60_63_with_57_60_stroke_value</vt:lpstr>
      <vt:lpstr>Without_60_63_with_60_63_amenity_value</vt:lpstr>
      <vt:lpstr>Without_60_63_with_60_63_AMI_value</vt:lpstr>
      <vt:lpstr>Calculation!Without_60_63_with_60_63_Dementia_value</vt:lpstr>
      <vt:lpstr>Without_60_63_with_60_63_stroke_value</vt:lpstr>
      <vt:lpstr>Without_60_63_with_63_66_amenity_value</vt:lpstr>
      <vt:lpstr>Without_60_63_with_63_66_AMI_value</vt:lpstr>
      <vt:lpstr>Calculation!Without_60_63_with_63_66_Dementia_value</vt:lpstr>
      <vt:lpstr>Without_60_63_with_63_66_sleep_disturbance_value</vt:lpstr>
      <vt:lpstr>Without_60_63_with_63_66_stroke_value</vt:lpstr>
      <vt:lpstr>Without_60_63_with_66_69_amenity_value</vt:lpstr>
      <vt:lpstr>Without_60_63_with_66_69_AMI_value</vt:lpstr>
      <vt:lpstr>Calculation!Without_60_63_with_66_69_Dementia_value</vt:lpstr>
      <vt:lpstr>Without_60_63_with_66_69_sleep_disturbance_value</vt:lpstr>
      <vt:lpstr>Without_60_63_with_66_69_stroke_value</vt:lpstr>
      <vt:lpstr>Without_60_63_with_69_72_amenity_value</vt:lpstr>
      <vt:lpstr>Without_60_63_with_69_72_AMI_value</vt:lpstr>
      <vt:lpstr>Calculation!Without_60_63_with_69_72_Dementia_value</vt:lpstr>
      <vt:lpstr>Without_60_63_with_69_72_sleep_disturbance_value</vt:lpstr>
      <vt:lpstr>Without_60_63_with_69_72_stroke_value</vt:lpstr>
      <vt:lpstr>Without_60_63_with_72_75_amenity_value</vt:lpstr>
      <vt:lpstr>Without_60_63_with_72_75_AMI_value</vt:lpstr>
      <vt:lpstr>Calculation!Without_60_63_with_72_75_Dementia_value</vt:lpstr>
      <vt:lpstr>Without_60_63_with_72_75_sleep_disturbance_value</vt:lpstr>
      <vt:lpstr>Without_60_63_with_72_75_stroke_value</vt:lpstr>
      <vt:lpstr>Without_60_63_with_75_78_amenity_value</vt:lpstr>
      <vt:lpstr>Without_60_63_with_75_78_AMI_value</vt:lpstr>
      <vt:lpstr>Calculation!Without_60_63_with_75_78_Dementia_value</vt:lpstr>
      <vt:lpstr>Without_60_63_with_75_78_sleep_disturbance_value</vt:lpstr>
      <vt:lpstr>Without_60_63_with_75_78_stroke_value</vt:lpstr>
      <vt:lpstr>Without_60_63_with_78_81_amenity_value</vt:lpstr>
      <vt:lpstr>Without_60_63_with_78_81_AMI_value</vt:lpstr>
      <vt:lpstr>Calculation!Without_60_63_with_78_81_Dementia_value</vt:lpstr>
      <vt:lpstr>Without_60_63_with_78_81_sleep_disturbance_value</vt:lpstr>
      <vt:lpstr>Without_60_63_with_78_81_stroke_value</vt:lpstr>
      <vt:lpstr>Without_60_63_with_81_amenity_value</vt:lpstr>
      <vt:lpstr>Without_60_63_with_81_AMI_value</vt:lpstr>
      <vt:lpstr>Calculation!Without_60_63_with_81_Dementia_value</vt:lpstr>
      <vt:lpstr>Without_60_63_with_81_sleep_disturbance_value</vt:lpstr>
      <vt:lpstr>Without_60_63_with_81_stroke_value</vt:lpstr>
      <vt:lpstr>Without_60_63_with_xx_amenity_value</vt:lpstr>
      <vt:lpstr>Without_60_63_with_xx_AMI_value</vt:lpstr>
      <vt:lpstr>Without_60_63_with_xx_composite_value</vt:lpstr>
      <vt:lpstr>Without_60_63_with_xx_dementia_value</vt:lpstr>
      <vt:lpstr>Without_60_63_with_xx_sleep_disturbance_value</vt:lpstr>
      <vt:lpstr>Without_60_63_with_xx_stroke_value</vt:lpstr>
      <vt:lpstr>Without_60_63_with_xx_value</vt:lpstr>
      <vt:lpstr>Without_63_66_with_45_48_amenity_value</vt:lpstr>
      <vt:lpstr>Without_63_66_with_45_48_AMI_value</vt:lpstr>
      <vt:lpstr>Calculation!Without_63_66_with_45_48_Dementia_value</vt:lpstr>
      <vt:lpstr>Without_63_66_with_45_48_stroke_value</vt:lpstr>
      <vt:lpstr>Without_63_66_with_45_amenity_value</vt:lpstr>
      <vt:lpstr>Without_63_66_with_45_AMI_value</vt:lpstr>
      <vt:lpstr>Calculation!Without_63_66_with_45_Dementia_value</vt:lpstr>
      <vt:lpstr>Without_63_66_with_45_stroke_value</vt:lpstr>
      <vt:lpstr>Without_63_66_with_48_51_amenity_value</vt:lpstr>
      <vt:lpstr>Without_63_66_with_48_51_AMI_value</vt:lpstr>
      <vt:lpstr>Calculation!Without_63_66_with_48_51_Dementia_value</vt:lpstr>
      <vt:lpstr>Without_63_66_with_48_51_stroke_value</vt:lpstr>
      <vt:lpstr>Without_63_66_with_51_54_amenity_value</vt:lpstr>
      <vt:lpstr>Without_63_66_with_51_54_AMI_value</vt:lpstr>
      <vt:lpstr>Calculation!Without_63_66_with_51_54_Dementia_value</vt:lpstr>
      <vt:lpstr>Without_63_66_with_51_54_stroke_value</vt:lpstr>
      <vt:lpstr>Without_63_66_with_54_57_amenity_value</vt:lpstr>
      <vt:lpstr>Without_63_66_with_54_57_AMI_value</vt:lpstr>
      <vt:lpstr>Calculation!Without_63_66_with_54_57_Dementia_value</vt:lpstr>
      <vt:lpstr>Without_63_66_with_54_57_stroke_value</vt:lpstr>
      <vt:lpstr>Without_63_66_with_57_60_amenity_value</vt:lpstr>
      <vt:lpstr>Without_63_66_with_57_60_AMI_value</vt:lpstr>
      <vt:lpstr>Calculation!Without_63_66_with_57_60_Dementia_value</vt:lpstr>
      <vt:lpstr>Without_63_66_with_57_60_stroke_value</vt:lpstr>
      <vt:lpstr>Without_63_66_with_60_63_amenity_value</vt:lpstr>
      <vt:lpstr>Without_63_66_with_60_63_AMI_value</vt:lpstr>
      <vt:lpstr>Calculation!Without_63_66_with_60_63_Dementia_value</vt:lpstr>
      <vt:lpstr>Without_63_66_with_60_63_stroke_value</vt:lpstr>
      <vt:lpstr>Without_63_66_with_63_66_amenity_value</vt:lpstr>
      <vt:lpstr>Without_63_66_with_63_66_AMI_value</vt:lpstr>
      <vt:lpstr>Calculation!Without_63_66_with_63_66_Dementia_value</vt:lpstr>
      <vt:lpstr>Without_63_66_with_63_66_stroke_value</vt:lpstr>
      <vt:lpstr>Without_63_66_with_66_69_amenity_value</vt:lpstr>
      <vt:lpstr>Without_63_66_with_66_69_AMI_value</vt:lpstr>
      <vt:lpstr>Calculation!Without_63_66_with_66_69_Dementia_value</vt:lpstr>
      <vt:lpstr>Without_63_66_with_66_69_sleep_disturbance_value</vt:lpstr>
      <vt:lpstr>Without_63_66_with_66_69_stroke_value</vt:lpstr>
      <vt:lpstr>Without_63_66_with_69_72_amenity_value</vt:lpstr>
      <vt:lpstr>Without_63_66_with_69_72_AMI_value</vt:lpstr>
      <vt:lpstr>Calculation!Without_63_66_with_69_72_Dementia_value</vt:lpstr>
      <vt:lpstr>Without_63_66_with_69_72_sleep_disturbance_value</vt:lpstr>
      <vt:lpstr>Without_63_66_with_69_72_stroke_value</vt:lpstr>
      <vt:lpstr>Without_63_66_with_72_75_amenity_value</vt:lpstr>
      <vt:lpstr>Without_63_66_with_72_75_AMI_value</vt:lpstr>
      <vt:lpstr>Calculation!Without_63_66_with_72_75_Dementia_value</vt:lpstr>
      <vt:lpstr>Without_63_66_with_72_75_sleep_disturbance_value</vt:lpstr>
      <vt:lpstr>Without_63_66_with_72_75_stroke_value</vt:lpstr>
      <vt:lpstr>Without_63_66_with_75_78_amenity_value</vt:lpstr>
      <vt:lpstr>Without_63_66_with_75_78_AMI_value</vt:lpstr>
      <vt:lpstr>Calculation!Without_63_66_with_75_78_Dementia_value</vt:lpstr>
      <vt:lpstr>Without_63_66_with_75_78_sleep_disturbance_value</vt:lpstr>
      <vt:lpstr>Without_63_66_with_75_78_stroke_value</vt:lpstr>
      <vt:lpstr>Without_63_66_with_78_81_amenity_value</vt:lpstr>
      <vt:lpstr>Without_63_66_with_78_81_AMI_value</vt:lpstr>
      <vt:lpstr>Calculation!Without_63_66_with_78_81_Dementia_value</vt:lpstr>
      <vt:lpstr>Without_63_66_with_78_81_sleep_disturbance_value</vt:lpstr>
      <vt:lpstr>Without_63_66_with_78_81_stroke_value</vt:lpstr>
      <vt:lpstr>Without_63_66_with_81_amenity_value</vt:lpstr>
      <vt:lpstr>Without_63_66_with_81_AMI_value</vt:lpstr>
      <vt:lpstr>Calculation!Without_63_66_with_81_Dementia_value</vt:lpstr>
      <vt:lpstr>Without_63_66_with_81_sleep_disturbance_value</vt:lpstr>
      <vt:lpstr>Without_63_66_with_81_stroke_value</vt:lpstr>
      <vt:lpstr>Without_63_66_with_xx_amenity_value</vt:lpstr>
      <vt:lpstr>Without_63_66_with_xx_AMI_value</vt:lpstr>
      <vt:lpstr>Without_63_66_with_xx_composite_value</vt:lpstr>
      <vt:lpstr>Without_63_66_with_xx_dementia_value</vt:lpstr>
      <vt:lpstr>Without_63_66_with_xx_sleep_disturbance_value</vt:lpstr>
      <vt:lpstr>Without_63_66_with_xx_stroke_value</vt:lpstr>
      <vt:lpstr>Without_63_66_with_xx_value</vt:lpstr>
      <vt:lpstr>Without_66_69_with_45_48_amenity_value</vt:lpstr>
      <vt:lpstr>Without_66_69_with_45_48_AMI_value</vt:lpstr>
      <vt:lpstr>Calculation!Without_66_69_with_45_48_Dementia_value</vt:lpstr>
      <vt:lpstr>Without_66_69_with_45_48_stroke_value</vt:lpstr>
      <vt:lpstr>Without_66_69_with_45_amenity_value</vt:lpstr>
      <vt:lpstr>Without_66_69_with_45_AMI_value</vt:lpstr>
      <vt:lpstr>Calculation!Without_66_69_with_45_Dementia_value</vt:lpstr>
      <vt:lpstr>Without_66_69_with_45_stroke_value</vt:lpstr>
      <vt:lpstr>Without_66_69_with_48_51_amenity_value</vt:lpstr>
      <vt:lpstr>Without_66_69_with_48_51_AMI_value</vt:lpstr>
      <vt:lpstr>Calculation!Without_66_69_with_48_51_Dementia_value</vt:lpstr>
      <vt:lpstr>Without_66_69_with_48_51_stroke_value</vt:lpstr>
      <vt:lpstr>Without_66_69_with_51_54_amenity_value</vt:lpstr>
      <vt:lpstr>Without_66_69_with_51_54_AMI_value</vt:lpstr>
      <vt:lpstr>Calculation!Without_66_69_with_51_54_Dementia_value</vt:lpstr>
      <vt:lpstr>Without_66_69_with_51_54_stroke_value</vt:lpstr>
      <vt:lpstr>Without_66_69_with_54_57_amenity_value</vt:lpstr>
      <vt:lpstr>Without_66_69_with_54_57_AMI_value</vt:lpstr>
      <vt:lpstr>Calculation!Without_66_69_with_54_57_Dementia_value</vt:lpstr>
      <vt:lpstr>Without_66_69_with_54_57_stroke_value</vt:lpstr>
      <vt:lpstr>Without_66_69_with_57_60_amenity_value</vt:lpstr>
      <vt:lpstr>Without_66_69_with_57_60_AMI_value</vt:lpstr>
      <vt:lpstr>Calculation!Without_66_69_with_57_60_Dementia_value</vt:lpstr>
      <vt:lpstr>Without_66_69_with_57_60_stroke_value</vt:lpstr>
      <vt:lpstr>Without_66_69_with_60_63_amenity_value</vt:lpstr>
      <vt:lpstr>Without_66_69_with_60_63_AMI_value</vt:lpstr>
      <vt:lpstr>Calculation!Without_66_69_with_60_63_Dementia_value</vt:lpstr>
      <vt:lpstr>Without_66_69_with_60_63_stroke_value</vt:lpstr>
      <vt:lpstr>Without_66_69_with_63_66_amenity_value</vt:lpstr>
      <vt:lpstr>Without_66_69_with_63_66_AMI_value</vt:lpstr>
      <vt:lpstr>Calculation!Without_66_69_with_63_66_Dementia_value</vt:lpstr>
      <vt:lpstr>Without_66_69_with_63_66_stroke_value</vt:lpstr>
      <vt:lpstr>Without_66_69_with_66_69_amenity_value</vt:lpstr>
      <vt:lpstr>Without_66_69_with_66_69_AMI_value</vt:lpstr>
      <vt:lpstr>Calculation!Without_66_69_with_66_69_Dementia_value</vt:lpstr>
      <vt:lpstr>Without_66_69_with_66_69_stroke_value</vt:lpstr>
      <vt:lpstr>Without_66_69_with_69_72_amenity_value</vt:lpstr>
      <vt:lpstr>Without_66_69_with_69_72_AMI_value</vt:lpstr>
      <vt:lpstr>Calculation!Without_66_69_with_69_72_Dementia_value</vt:lpstr>
      <vt:lpstr>Without_66_69_with_69_72_sleep_disturbance_value</vt:lpstr>
      <vt:lpstr>Without_66_69_with_69_72_stroke_value</vt:lpstr>
      <vt:lpstr>Without_66_69_with_72_75_amenity_value</vt:lpstr>
      <vt:lpstr>Without_66_69_with_72_75_AMI_value</vt:lpstr>
      <vt:lpstr>Calculation!Without_66_69_with_72_75_Dementia_value</vt:lpstr>
      <vt:lpstr>Without_66_69_with_72_75_sleep_disturbance_value</vt:lpstr>
      <vt:lpstr>Without_66_69_with_72_75_stroke_value</vt:lpstr>
      <vt:lpstr>Without_66_69_with_75_78_amenity_value</vt:lpstr>
      <vt:lpstr>Without_66_69_with_75_78_AMI_value</vt:lpstr>
      <vt:lpstr>Calculation!Without_66_69_with_75_78_Dementia_value</vt:lpstr>
      <vt:lpstr>Without_66_69_with_75_78_sleep_disturbance_value</vt:lpstr>
      <vt:lpstr>Without_66_69_with_75_78_stroke_value</vt:lpstr>
      <vt:lpstr>Without_66_69_with_78_81_amenity_value</vt:lpstr>
      <vt:lpstr>Without_66_69_with_78_81_AMI_value</vt:lpstr>
      <vt:lpstr>Calculation!Without_66_69_with_78_81_Dementia_value</vt:lpstr>
      <vt:lpstr>Without_66_69_with_78_81_sleep_disturbance_value</vt:lpstr>
      <vt:lpstr>Without_66_69_with_78_81_stroke_value</vt:lpstr>
      <vt:lpstr>Without_66_69_with_81_amenity_value</vt:lpstr>
      <vt:lpstr>Without_66_69_with_81_AMI_value</vt:lpstr>
      <vt:lpstr>Calculation!Without_66_69_with_81_Dementia_value</vt:lpstr>
      <vt:lpstr>Without_66_69_with_81_sleep_disturbance_value</vt:lpstr>
      <vt:lpstr>Without_66_69_with_81_stroke_value</vt:lpstr>
      <vt:lpstr>Without_66_69_with_xx_amenity_value</vt:lpstr>
      <vt:lpstr>Without_66_69_with_xx_AMI_value</vt:lpstr>
      <vt:lpstr>Without_66_69_with_xx_composite_value</vt:lpstr>
      <vt:lpstr>Without_66_69_with_xx_dementia_value</vt:lpstr>
      <vt:lpstr>Without_66_69_with_xx_sleep_disturbance_value</vt:lpstr>
      <vt:lpstr>Without_66_69_with_xx_stroke_value</vt:lpstr>
      <vt:lpstr>Without_66_69_with_xx_value</vt:lpstr>
      <vt:lpstr>Without_69_72_with_45_48_amenity_value</vt:lpstr>
      <vt:lpstr>Without_69_72_with_45_48_AMI_value</vt:lpstr>
      <vt:lpstr>Calculation!Without_69_72_with_45_48_Dementia_value</vt:lpstr>
      <vt:lpstr>Without_69_72_with_45_48_stroke_value</vt:lpstr>
      <vt:lpstr>Without_69_72_with_45_amenity_value</vt:lpstr>
      <vt:lpstr>Without_69_72_with_45_AMI_value</vt:lpstr>
      <vt:lpstr>Calculation!Without_69_72_with_45_Dementia_value</vt:lpstr>
      <vt:lpstr>Without_69_72_with_45_stroke_value</vt:lpstr>
      <vt:lpstr>Without_69_72_with_48_51_amenity_value</vt:lpstr>
      <vt:lpstr>Without_69_72_with_48_51_AMI_value</vt:lpstr>
      <vt:lpstr>Calculation!Without_69_72_with_48_51_Dementia_value</vt:lpstr>
      <vt:lpstr>Without_69_72_with_48_51_stroke_value</vt:lpstr>
      <vt:lpstr>Without_69_72_with_51_54_amenity_value</vt:lpstr>
      <vt:lpstr>Without_69_72_with_51_54_AMI_value</vt:lpstr>
      <vt:lpstr>Calculation!Without_69_72_with_51_54_Dementia_value</vt:lpstr>
      <vt:lpstr>Without_69_72_with_51_54_stroke_value</vt:lpstr>
      <vt:lpstr>Without_69_72_with_54_57_amenity_value</vt:lpstr>
      <vt:lpstr>Without_69_72_with_54_57_AMI_value</vt:lpstr>
      <vt:lpstr>Calculation!Without_69_72_with_54_57_Dementia_value</vt:lpstr>
      <vt:lpstr>Without_69_72_with_54_57_stroke_value</vt:lpstr>
      <vt:lpstr>Without_69_72_with_57_60_amenity_value</vt:lpstr>
      <vt:lpstr>Without_69_72_with_57_60_AMI_value</vt:lpstr>
      <vt:lpstr>Calculation!Without_69_72_with_57_60_Dementia_value</vt:lpstr>
      <vt:lpstr>Without_69_72_with_57_60_stroke_value</vt:lpstr>
      <vt:lpstr>Without_69_72_with_60_63_amenity_value</vt:lpstr>
      <vt:lpstr>Without_69_72_with_60_63_AMI_value</vt:lpstr>
      <vt:lpstr>Calculation!Without_69_72_with_60_63_Dementia_value</vt:lpstr>
      <vt:lpstr>Without_69_72_with_60_63_stroke_value</vt:lpstr>
      <vt:lpstr>Without_69_72_with_63_66_amenity_value</vt:lpstr>
      <vt:lpstr>Without_69_72_with_63_66_AMI_value</vt:lpstr>
      <vt:lpstr>Calculation!Without_69_72_with_63_66_Dementia_value</vt:lpstr>
      <vt:lpstr>Without_69_72_with_63_66_stroke_value</vt:lpstr>
      <vt:lpstr>Without_69_72_with_66_69_amenity_value</vt:lpstr>
      <vt:lpstr>Without_69_72_with_66_69_AMI_value</vt:lpstr>
      <vt:lpstr>Calculation!Without_69_72_with_66_69_Dementia_value</vt:lpstr>
      <vt:lpstr>Without_69_72_with_66_69_stroke_value</vt:lpstr>
      <vt:lpstr>Without_69_72_with_69_72_amenity_value</vt:lpstr>
      <vt:lpstr>Without_69_72_with_69_72_AMI_value</vt:lpstr>
      <vt:lpstr>Calculation!Without_69_72_with_69_72_Dementia_value</vt:lpstr>
      <vt:lpstr>Without_69_72_with_69_72_stroke_value</vt:lpstr>
      <vt:lpstr>Without_69_72_with_72_75_amenity_value</vt:lpstr>
      <vt:lpstr>Without_69_72_with_72_75_AMI_value</vt:lpstr>
      <vt:lpstr>Calculation!Without_69_72_with_72_75_Dementia_value</vt:lpstr>
      <vt:lpstr>Without_69_72_with_72_75_sleep_disturbance_value</vt:lpstr>
      <vt:lpstr>Without_69_72_with_72_75_stroke_value</vt:lpstr>
      <vt:lpstr>Without_69_72_with_75_78_amenity_value</vt:lpstr>
      <vt:lpstr>Without_69_72_with_75_78_AMI_value</vt:lpstr>
      <vt:lpstr>Calculation!Without_69_72_with_75_78_Dementia_value</vt:lpstr>
      <vt:lpstr>Without_69_72_with_75_78_sleep_disturbance_value</vt:lpstr>
      <vt:lpstr>Without_69_72_with_75_78_stroke_value</vt:lpstr>
      <vt:lpstr>Without_69_72_with_78_81_amenity_value</vt:lpstr>
      <vt:lpstr>Without_69_72_with_78_81_AMI_value</vt:lpstr>
      <vt:lpstr>Calculation!Without_69_72_with_78_81_Dementia_value</vt:lpstr>
      <vt:lpstr>Without_69_72_with_78_81_sleep_disturbance_value</vt:lpstr>
      <vt:lpstr>Without_69_72_with_78_81_stroke_value</vt:lpstr>
      <vt:lpstr>Without_69_72_with_81_amenity_value</vt:lpstr>
      <vt:lpstr>Without_69_72_with_81_AMI_value</vt:lpstr>
      <vt:lpstr>Calculation!Without_69_72_with_81_Dementia_value</vt:lpstr>
      <vt:lpstr>Without_69_72_with_81_sleep_disturbance_value</vt:lpstr>
      <vt:lpstr>Without_69_72_with_81_stroke_value</vt:lpstr>
      <vt:lpstr>Without_69_72_with_xx_amenity_value</vt:lpstr>
      <vt:lpstr>Without_69_72_with_xx_AMI_value</vt:lpstr>
      <vt:lpstr>Without_69_72_with_xx_composite_value</vt:lpstr>
      <vt:lpstr>Without_69_72_with_xx_dementia_value</vt:lpstr>
      <vt:lpstr>Without_69_72_with_xx_sleep_disturbance_value</vt:lpstr>
      <vt:lpstr>Without_69_72_with_xx_stroke_value</vt:lpstr>
      <vt:lpstr>Without_69_72_with_xx_value</vt:lpstr>
      <vt:lpstr>Without_72_75_with_45_48_amenity_value</vt:lpstr>
      <vt:lpstr>Without_72_75_with_45_48_AMI_value</vt:lpstr>
      <vt:lpstr>Calculation!Without_72_75_with_45_48_Dementia_value</vt:lpstr>
      <vt:lpstr>Without_72_75_with_45_48_stroke_value</vt:lpstr>
      <vt:lpstr>Without_72_75_with_45_amenity_value</vt:lpstr>
      <vt:lpstr>Without_72_75_with_45_AMI_value</vt:lpstr>
      <vt:lpstr>Calculation!Without_72_75_with_45_Dementia_value</vt:lpstr>
      <vt:lpstr>Without_72_75_with_45_stroke_value</vt:lpstr>
      <vt:lpstr>Without_72_75_with_48_51_amenity_value</vt:lpstr>
      <vt:lpstr>Without_72_75_with_48_51_AMI_value</vt:lpstr>
      <vt:lpstr>Calculation!Without_72_75_with_48_51_Dementia_value</vt:lpstr>
      <vt:lpstr>Without_72_75_with_48_51_stroke_value</vt:lpstr>
      <vt:lpstr>Without_72_75_with_51_54_amenity_value</vt:lpstr>
      <vt:lpstr>Without_72_75_with_51_54_AMI_value</vt:lpstr>
      <vt:lpstr>Calculation!Without_72_75_with_51_54_Dementia_value</vt:lpstr>
      <vt:lpstr>Without_72_75_with_51_54_stroke_value</vt:lpstr>
      <vt:lpstr>Without_72_75_with_54_57_amenity_value</vt:lpstr>
      <vt:lpstr>Without_72_75_with_54_57_AMI_value</vt:lpstr>
      <vt:lpstr>Calculation!Without_72_75_with_54_57_Dementia_value</vt:lpstr>
      <vt:lpstr>Without_72_75_with_54_57_stroke_value</vt:lpstr>
      <vt:lpstr>Without_72_75_with_57_60_amenity_value</vt:lpstr>
      <vt:lpstr>Without_72_75_with_57_60_AMI_value</vt:lpstr>
      <vt:lpstr>Calculation!Without_72_75_with_57_60_Dementia_value</vt:lpstr>
      <vt:lpstr>Without_72_75_with_57_60_stroke_value</vt:lpstr>
      <vt:lpstr>Without_72_75_with_60_63_amenity_value</vt:lpstr>
      <vt:lpstr>Without_72_75_with_60_63_AMI_value</vt:lpstr>
      <vt:lpstr>Calculation!Without_72_75_with_60_63_Dementia_value</vt:lpstr>
      <vt:lpstr>Without_72_75_with_60_63_stroke_value</vt:lpstr>
      <vt:lpstr>Without_72_75_with_63_66_amenity_value</vt:lpstr>
      <vt:lpstr>Without_72_75_with_63_66_AMI_value</vt:lpstr>
      <vt:lpstr>Calculation!Without_72_75_with_63_66_Dementia_value</vt:lpstr>
      <vt:lpstr>Without_72_75_with_63_66_stroke_value</vt:lpstr>
      <vt:lpstr>Without_72_75_with_66_69_amenity_value</vt:lpstr>
      <vt:lpstr>Without_72_75_with_66_69_AMI_value</vt:lpstr>
      <vt:lpstr>Calculation!Without_72_75_with_66_69_Dementia_value</vt:lpstr>
      <vt:lpstr>Without_72_75_with_66_69_stroke_value</vt:lpstr>
      <vt:lpstr>Without_72_75_with_69_72_amenity_value</vt:lpstr>
      <vt:lpstr>Without_72_75_with_69_72_AMI_value</vt:lpstr>
      <vt:lpstr>Calculation!Without_72_75_with_69_72_Dementia_value</vt:lpstr>
      <vt:lpstr>Without_72_75_with_69_72_stroke_value</vt:lpstr>
      <vt:lpstr>Without_72_75_with_72_75_amenity_value</vt:lpstr>
      <vt:lpstr>Without_72_75_with_72_75_AMI_value</vt:lpstr>
      <vt:lpstr>Calculation!Without_72_75_with_72_75_Dementia_value</vt:lpstr>
      <vt:lpstr>Without_72_75_with_72_75_stroke_value</vt:lpstr>
      <vt:lpstr>Without_72_75_with_75_78_amenity_value</vt:lpstr>
      <vt:lpstr>Without_72_75_with_75_78_AMI_value</vt:lpstr>
      <vt:lpstr>Calculation!Without_72_75_with_75_78_Dementia_value</vt:lpstr>
      <vt:lpstr>Without_72_75_with_75_78_sleep_disturbance_value</vt:lpstr>
      <vt:lpstr>Without_72_75_with_75_78_stroke_value</vt:lpstr>
      <vt:lpstr>Without_72_75_with_78_81_amenity_value</vt:lpstr>
      <vt:lpstr>Without_72_75_with_78_81_AMI_value</vt:lpstr>
      <vt:lpstr>Calculation!Without_72_75_with_78_81_Dementia_value</vt:lpstr>
      <vt:lpstr>Without_72_75_with_78_81_sleep_disturbance_value</vt:lpstr>
      <vt:lpstr>Without_72_75_with_78_81_stroke_value</vt:lpstr>
      <vt:lpstr>Without_72_75_with_81_amenity_value</vt:lpstr>
      <vt:lpstr>Without_72_75_with_81_AMI_value</vt:lpstr>
      <vt:lpstr>Calculation!Without_72_75_with_81_Dementia_value</vt:lpstr>
      <vt:lpstr>Without_72_75_with_81_sleep_disturbance_value</vt:lpstr>
      <vt:lpstr>Without_72_75_with_81_stroke_value</vt:lpstr>
      <vt:lpstr>Without_72_75_with_xx_amenity_value</vt:lpstr>
      <vt:lpstr>Without_72_75_with_xx_AMI_value</vt:lpstr>
      <vt:lpstr>Without_72_75_with_xx_composite_value</vt:lpstr>
      <vt:lpstr>Without_72_75_with_xx_dementia_value</vt:lpstr>
      <vt:lpstr>Without_72_75_with_xx_sleep_disturbance_value</vt:lpstr>
      <vt:lpstr>Without_72_75_with_xx_stroke_value</vt:lpstr>
      <vt:lpstr>Without_72_75_with_xx_value</vt:lpstr>
      <vt:lpstr>Without_75_78_with_45_48_amenity_value</vt:lpstr>
      <vt:lpstr>Without_75_78_with_45_48_AMI_value</vt:lpstr>
      <vt:lpstr>Calculation!Without_75_78_with_45_48_Dementia_value</vt:lpstr>
      <vt:lpstr>Without_75_78_with_45_48_stroke_value</vt:lpstr>
      <vt:lpstr>Without_75_78_with_45_amenity_value</vt:lpstr>
      <vt:lpstr>Without_75_78_with_45_AMI_value</vt:lpstr>
      <vt:lpstr>Calculation!Without_75_78_with_45_Dementia_value</vt:lpstr>
      <vt:lpstr>Without_75_78_with_45_stroke_value</vt:lpstr>
      <vt:lpstr>Without_75_78_with_48_51_amenity_value</vt:lpstr>
      <vt:lpstr>Without_75_78_with_48_51_AMI_value</vt:lpstr>
      <vt:lpstr>Calculation!Without_75_78_with_48_51_Dementia_value</vt:lpstr>
      <vt:lpstr>Without_75_78_with_48_51_stroke_value</vt:lpstr>
      <vt:lpstr>Without_75_78_with_51_54_amenity_value</vt:lpstr>
      <vt:lpstr>Without_75_78_with_51_54_AMI_value</vt:lpstr>
      <vt:lpstr>Calculation!Without_75_78_with_51_54_Dementia_value</vt:lpstr>
      <vt:lpstr>Without_75_78_with_51_54_stroke_value</vt:lpstr>
      <vt:lpstr>Without_75_78_with_54_57_amenity_value</vt:lpstr>
      <vt:lpstr>Without_75_78_with_54_57_AMI_value</vt:lpstr>
      <vt:lpstr>Calculation!Without_75_78_with_54_57_Dementia_value</vt:lpstr>
      <vt:lpstr>Without_75_78_with_54_57_stroke_value</vt:lpstr>
      <vt:lpstr>Without_75_78_with_57_60_amenity_value</vt:lpstr>
      <vt:lpstr>Without_75_78_with_57_60_AMI_value</vt:lpstr>
      <vt:lpstr>Calculation!Without_75_78_with_57_60_Dementia_value</vt:lpstr>
      <vt:lpstr>Without_75_78_with_57_60_stroke_value</vt:lpstr>
      <vt:lpstr>Without_75_78_with_60_63_amenity_value</vt:lpstr>
      <vt:lpstr>Without_75_78_with_60_63_AMI_value</vt:lpstr>
      <vt:lpstr>Calculation!Without_75_78_with_60_63_Dementia_value</vt:lpstr>
      <vt:lpstr>Without_75_78_with_60_63_stroke_value</vt:lpstr>
      <vt:lpstr>Without_75_78_with_63_66_amenity_value</vt:lpstr>
      <vt:lpstr>Without_75_78_with_63_66_AMI_value</vt:lpstr>
      <vt:lpstr>Calculation!Without_75_78_with_63_66_Dementia_value</vt:lpstr>
      <vt:lpstr>Without_75_78_with_63_66_stroke_value</vt:lpstr>
      <vt:lpstr>Without_75_78_with_66_69_amenity_value</vt:lpstr>
      <vt:lpstr>Without_75_78_with_66_69_AMI_value</vt:lpstr>
      <vt:lpstr>Calculation!Without_75_78_with_66_69_Dementia_value</vt:lpstr>
      <vt:lpstr>Without_75_78_with_66_69_stroke_value</vt:lpstr>
      <vt:lpstr>Without_75_78_with_69_72_amenity_value</vt:lpstr>
      <vt:lpstr>Without_75_78_with_69_72_AMI_value</vt:lpstr>
      <vt:lpstr>Calculation!Without_75_78_with_69_72_Dementia_value</vt:lpstr>
      <vt:lpstr>Without_75_78_with_69_72_stroke_value</vt:lpstr>
      <vt:lpstr>Without_75_78_with_72_75_amenity_value</vt:lpstr>
      <vt:lpstr>Without_75_78_with_72_75_AMI_value</vt:lpstr>
      <vt:lpstr>Calculation!Without_75_78_with_72_75_Dementia_value</vt:lpstr>
      <vt:lpstr>Without_75_78_with_72_75_stroke_value</vt:lpstr>
      <vt:lpstr>Without_75_78_with_75_78_amenity_value</vt:lpstr>
      <vt:lpstr>Without_75_78_with_75_78_AMI_value</vt:lpstr>
      <vt:lpstr>Calculation!Without_75_78_with_75_78_Dementia_value</vt:lpstr>
      <vt:lpstr>Without_75_78_with_75_78_stroke_value</vt:lpstr>
      <vt:lpstr>Without_75_78_with_78_81_amenity_value</vt:lpstr>
      <vt:lpstr>Without_75_78_with_78_81_AMI_value</vt:lpstr>
      <vt:lpstr>Calculation!Without_75_78_with_78_81_Dementia_value</vt:lpstr>
      <vt:lpstr>Without_75_78_with_78_81_sleep_disturbance_value</vt:lpstr>
      <vt:lpstr>Without_75_78_with_78_81_stroke_value</vt:lpstr>
      <vt:lpstr>Without_75_78_with_81_amenity_value</vt:lpstr>
      <vt:lpstr>Without_75_78_with_81_AMI_value</vt:lpstr>
      <vt:lpstr>Calculation!Without_75_78_with_81_Dementia_value</vt:lpstr>
      <vt:lpstr>Without_75_78_with_81_sleep_disturbance_value</vt:lpstr>
      <vt:lpstr>Without_75_78_with_81_stroke_value</vt:lpstr>
      <vt:lpstr>Without_75_78_with_xx_amenity_value</vt:lpstr>
      <vt:lpstr>Without_75_78_with_xx_AMI_value</vt:lpstr>
      <vt:lpstr>Without_75_78_with_xx_composite_value</vt:lpstr>
      <vt:lpstr>Without_75_78_with_xx_dementia_value</vt:lpstr>
      <vt:lpstr>Without_75_78_with_xx_sleep_disturbance_value</vt:lpstr>
      <vt:lpstr>Without_75_78_with_xx_stroke_value</vt:lpstr>
      <vt:lpstr>Without_75_78_with_xx_value</vt:lpstr>
      <vt:lpstr>Without_78_81_with_45_48_amenity_value</vt:lpstr>
      <vt:lpstr>Without_78_81_with_45_48_AMI_value</vt:lpstr>
      <vt:lpstr>Calculation!Without_78_81_with_45_48_Dementia_value</vt:lpstr>
      <vt:lpstr>Without_78_81_with_45_48_stroke_value</vt:lpstr>
      <vt:lpstr>Without_78_81_with_45_amenity_value</vt:lpstr>
      <vt:lpstr>Without_78_81_with_45_AMI_value</vt:lpstr>
      <vt:lpstr>Calculation!Without_78_81_with_45_Dementia_value</vt:lpstr>
      <vt:lpstr>Without_78_81_with_45_stroke_value</vt:lpstr>
      <vt:lpstr>Without_78_81_with_48_51_amenity_value</vt:lpstr>
      <vt:lpstr>Without_78_81_with_48_51_AMI_value</vt:lpstr>
      <vt:lpstr>Calculation!Without_78_81_with_48_51_Dementia_value</vt:lpstr>
      <vt:lpstr>Without_78_81_with_48_51_stroke_value</vt:lpstr>
      <vt:lpstr>Without_78_81_with_51_54_amenity_value</vt:lpstr>
      <vt:lpstr>Without_78_81_with_51_54_AMI_value</vt:lpstr>
      <vt:lpstr>Calculation!Without_78_81_with_51_54_Dementia_value</vt:lpstr>
      <vt:lpstr>Without_78_81_with_51_54_stroke_value</vt:lpstr>
      <vt:lpstr>Without_78_81_with_54_57_amenity_value</vt:lpstr>
      <vt:lpstr>Without_78_81_with_54_57_AMI_value</vt:lpstr>
      <vt:lpstr>Calculation!Without_78_81_with_54_57_Dementia_value</vt:lpstr>
      <vt:lpstr>Without_78_81_with_54_57_stroke_value</vt:lpstr>
      <vt:lpstr>Without_78_81_with_57_60_amenity_value</vt:lpstr>
      <vt:lpstr>Without_78_81_with_57_60_AMI_value</vt:lpstr>
      <vt:lpstr>Calculation!Without_78_81_with_57_60_Dementia_value</vt:lpstr>
      <vt:lpstr>Without_78_81_with_57_60_stroke_value</vt:lpstr>
      <vt:lpstr>Without_78_81_with_60_63_amenity_value</vt:lpstr>
      <vt:lpstr>Without_78_81_with_60_63_AMI_value</vt:lpstr>
      <vt:lpstr>Calculation!Without_78_81_with_60_63_Dementia_value</vt:lpstr>
      <vt:lpstr>Without_78_81_with_60_63_stroke_value</vt:lpstr>
      <vt:lpstr>Without_78_81_with_63_66_amenity_value</vt:lpstr>
      <vt:lpstr>Without_78_81_with_63_66_AMI_value</vt:lpstr>
      <vt:lpstr>Calculation!Without_78_81_with_63_66_Dementia_value</vt:lpstr>
      <vt:lpstr>Without_78_81_with_63_66_stroke_value</vt:lpstr>
      <vt:lpstr>Without_78_81_with_66_69_amenity_value</vt:lpstr>
      <vt:lpstr>Without_78_81_with_66_69_AMI_value</vt:lpstr>
      <vt:lpstr>Calculation!Without_78_81_with_66_69_Dementia_value</vt:lpstr>
      <vt:lpstr>Without_78_81_with_66_69_stroke_value</vt:lpstr>
      <vt:lpstr>Without_78_81_with_69_72_amenity_value</vt:lpstr>
      <vt:lpstr>Without_78_81_with_69_72_AMI_value</vt:lpstr>
      <vt:lpstr>Calculation!Without_78_81_with_69_72_Dementia_value</vt:lpstr>
      <vt:lpstr>Without_78_81_with_69_72_stroke_value</vt:lpstr>
      <vt:lpstr>Without_78_81_with_72_75_amenity_value</vt:lpstr>
      <vt:lpstr>Without_78_81_with_72_75_AMI_value</vt:lpstr>
      <vt:lpstr>Calculation!Without_78_81_with_72_75_Dementia_value</vt:lpstr>
      <vt:lpstr>Without_78_81_with_72_75_stroke_value</vt:lpstr>
      <vt:lpstr>Without_78_81_with_75_78_amenity_value</vt:lpstr>
      <vt:lpstr>Without_78_81_with_75_78_AMI_value</vt:lpstr>
      <vt:lpstr>Calculation!Without_78_81_with_75_78_Dementia_value</vt:lpstr>
      <vt:lpstr>Without_78_81_with_75_78_stroke_value</vt:lpstr>
      <vt:lpstr>Without_78_81_with_78_81_amenity_value</vt:lpstr>
      <vt:lpstr>Without_78_81_with_78_81_AMI_value</vt:lpstr>
      <vt:lpstr>Calculation!Without_78_81_with_78_81_Dementia_value</vt:lpstr>
      <vt:lpstr>Without_78_81_with_78_81_stroke_value</vt:lpstr>
      <vt:lpstr>Without_78_81_with_81_amenity_value</vt:lpstr>
      <vt:lpstr>Without_78_81_with_81_AMI_value</vt:lpstr>
      <vt:lpstr>Calculation!Without_78_81_with_81_Dementia_value</vt:lpstr>
      <vt:lpstr>Without_78_81_with_81_sleep_disturbance_value</vt:lpstr>
      <vt:lpstr>Without_78_81_with_81_stroke_value</vt:lpstr>
      <vt:lpstr>Without_78_81_with_xx_amenity_value</vt:lpstr>
      <vt:lpstr>Without_78_81_with_xx_AMI_value</vt:lpstr>
      <vt:lpstr>Without_78_81_with_xx_composite_value</vt:lpstr>
      <vt:lpstr>Without_78_81_with_xx_dementia_value</vt:lpstr>
      <vt:lpstr>Without_78_81_with_xx_sleep_disturbance_value</vt:lpstr>
      <vt:lpstr>Without_78_81_with_xx_stroke_value</vt:lpstr>
      <vt:lpstr>Without_78_81_with_xx_value</vt:lpstr>
      <vt:lpstr>Without_81_with_45_48_amenity_value</vt:lpstr>
      <vt:lpstr>Without_81_with_45_48_AMI_value</vt:lpstr>
      <vt:lpstr>Calculation!Without_81_with_45_48_Dementia_value</vt:lpstr>
      <vt:lpstr>Without_81_with_45_48_stroke_value</vt:lpstr>
      <vt:lpstr>Without_81_with_45_amenity_value</vt:lpstr>
      <vt:lpstr>Without_81_with_45_AMI_value</vt:lpstr>
      <vt:lpstr>Calculation!Without_81_with_45_Dementia_value</vt:lpstr>
      <vt:lpstr>Without_81_with_45_stroke_value</vt:lpstr>
      <vt:lpstr>Without_81_with_48_51_amenity_value</vt:lpstr>
      <vt:lpstr>Without_81_with_48_51_AMI_value</vt:lpstr>
      <vt:lpstr>Calculation!Without_81_with_48_51_Dementia_value</vt:lpstr>
      <vt:lpstr>Without_81_with_48_51_stroke_value</vt:lpstr>
      <vt:lpstr>Without_81_with_51_54_amenity_value</vt:lpstr>
      <vt:lpstr>Without_81_with_51_54_AMI_value</vt:lpstr>
      <vt:lpstr>Calculation!Without_81_with_51_54_Dementia_value</vt:lpstr>
      <vt:lpstr>Without_81_with_51_54_stroke_value</vt:lpstr>
      <vt:lpstr>Without_81_with_54_57_amenity_value</vt:lpstr>
      <vt:lpstr>Without_81_with_54_57_AMI_value</vt:lpstr>
      <vt:lpstr>Calculation!Without_81_with_54_57_Dementia_value</vt:lpstr>
      <vt:lpstr>Without_81_with_54_57_stroke_value</vt:lpstr>
      <vt:lpstr>Without_81_with_57_60_amenity_value</vt:lpstr>
      <vt:lpstr>Without_81_with_57_60_AMI_value</vt:lpstr>
      <vt:lpstr>Calculation!Without_81_with_57_60_Dementia_value</vt:lpstr>
      <vt:lpstr>Without_81_with_57_60_stroke_value</vt:lpstr>
      <vt:lpstr>Without_81_with_60_63_amenity_value</vt:lpstr>
      <vt:lpstr>Without_81_with_60_63_AMI_value</vt:lpstr>
      <vt:lpstr>Calculation!Without_81_with_60_63_Dementia_value</vt:lpstr>
      <vt:lpstr>Without_81_with_60_63_stroke_value</vt:lpstr>
      <vt:lpstr>Without_81_with_63_66_amenity_value</vt:lpstr>
      <vt:lpstr>Without_81_with_63_66_AMI_value</vt:lpstr>
      <vt:lpstr>Calculation!Without_81_with_63_66_Dementia_value</vt:lpstr>
      <vt:lpstr>Without_81_with_63_66_stroke_value</vt:lpstr>
      <vt:lpstr>Without_81_with_66_69_amenity_value</vt:lpstr>
      <vt:lpstr>Without_81_with_66_69_AMI_value</vt:lpstr>
      <vt:lpstr>Calculation!Without_81_with_66_69_Dementia_value</vt:lpstr>
      <vt:lpstr>Without_81_with_66_69_stroke_value</vt:lpstr>
      <vt:lpstr>Without_81_with_69_72_amenity_value</vt:lpstr>
      <vt:lpstr>Without_81_with_69_72_AMI_value</vt:lpstr>
      <vt:lpstr>Calculation!Without_81_with_69_72_Dementia_value</vt:lpstr>
      <vt:lpstr>Without_81_with_69_72_stroke_value</vt:lpstr>
      <vt:lpstr>Without_81_with_72_75_amenity_value</vt:lpstr>
      <vt:lpstr>Without_81_with_72_75_AMI_value</vt:lpstr>
      <vt:lpstr>Calculation!Without_81_with_72_75_Dementia_value</vt:lpstr>
      <vt:lpstr>Without_81_with_72_75_stroke_value</vt:lpstr>
      <vt:lpstr>Without_81_with_75_78_amenity_value</vt:lpstr>
      <vt:lpstr>Without_81_with_75_78_AMI_value</vt:lpstr>
      <vt:lpstr>Calculation!Without_81_with_75_78_Dementia_value</vt:lpstr>
      <vt:lpstr>Without_81_with_75_78_stroke_value</vt:lpstr>
      <vt:lpstr>Without_81_with_78_81_amenity_value</vt:lpstr>
      <vt:lpstr>Without_81_with_78_81_AMI_value</vt:lpstr>
      <vt:lpstr>Calculation!Without_81_with_78_81_Dementia_value</vt:lpstr>
      <vt:lpstr>Without_81_with_78_81_stroke_value</vt:lpstr>
      <vt:lpstr>Without_81_with_81_amenity_value</vt:lpstr>
      <vt:lpstr>Without_81_with_81_AMI_value</vt:lpstr>
      <vt:lpstr>Calculation!Without_81_with_81_Dementia_value</vt:lpstr>
      <vt:lpstr>Without_81_with_81_stroke_value</vt:lpstr>
      <vt:lpstr>Without_81_with_xx_amenity_value</vt:lpstr>
      <vt:lpstr>Without_81_with_xx_AMI_value</vt:lpstr>
      <vt:lpstr>Without_81_with_xx_composite_value</vt:lpstr>
      <vt:lpstr>Without_81_with_xx_dementia_value</vt:lpstr>
      <vt:lpstr>Without_81_with_xx_sleep_disturbance_value</vt:lpstr>
      <vt:lpstr>Without_81_with_xx_stroke_value</vt:lpstr>
      <vt:lpstr>Without_81_with_xx_value</vt:lpstr>
      <vt:lpstr>year</vt:lpstr>
    </vt:vector>
  </TitlesOfParts>
  <Company>DfT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for Transport</dc:creator>
  <cp:lastModifiedBy>Allen, Frank</cp:lastModifiedBy>
  <cp:lastPrinted>2015-03-16T14:08:07Z</cp:lastPrinted>
  <dcterms:created xsi:type="dcterms:W3CDTF">2015-03-04T16:03:50Z</dcterms:created>
  <dcterms:modified xsi:type="dcterms:W3CDTF">2018-01-16T11:48:39Z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0x0101007BD61AFCC8A643B8924AB3F7EE182601020007B00C403447B443A85BBECB6883BAF2</vt:lpwstr>
  </property>
  <property fmtid="{D5CDD505-2E9C-101B-9397-08002B2CF9AE}" pid="3" name="_dlc_DocIdItemGuid">
    <vt:lpwstr>b1a4fe87-e0e0-4003-a27b-a2d774d65a2b</vt:lpwstr>
  </property>
  <property fmtid="{D5CDD505-2E9C-101B-9397-08002B2CF9AE}" pid="4" name="TaxKeyword">
    <vt:lpwstr/>
  </property>
</Properties>
</file>